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565" windowHeight="5580" activeTab="0"/>
  </bookViews>
  <sheets>
    <sheet name="Sys" sheetId="1" r:id="rId1"/>
    <sheet name="Vport min" sheetId="2" r:id="rId2"/>
    <sheet name="PD" sheetId="3" r:id="rId3"/>
    <sheet name="cable" sheetId="4" r:id="rId4"/>
    <sheet name="Misc" sheetId="5" r:id="rId5"/>
    <sheet name="graphs" sheetId="6" r:id="rId6"/>
    <sheet name="Rev" sheetId="7" r:id="rId7"/>
    <sheet name="Reviewers" sheetId="8" r:id="rId8"/>
  </sheets>
  <definedNames>
    <definedName name="_xlnm.Print_Area" localSheetId="3">'cable'!$A$1:$P$43</definedName>
    <definedName name="_xlnm.Print_Area" localSheetId="5">'graphs'!$A$1:$N$122</definedName>
    <definedName name="_xlnm.Print_Area" localSheetId="2">'PD'!$A$1:$K$30</definedName>
    <definedName name="_xlnm.Print_Area" localSheetId="0">'Sys'!$A$1:$O$45</definedName>
    <definedName name="solver_adj" localSheetId="1" hidden="1">'Vport min'!$B$5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'Vport min'!$B$48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2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comments1.xml><?xml version="1.0" encoding="utf-8"?>
<comments xmlns="http://schemas.openxmlformats.org/spreadsheetml/2006/main">
  <authors>
    <author>fred schindler</author>
  </authors>
  <commentList>
    <comment ref="B10" authorId="0">
      <text>
        <r>
          <rPr>
            <b/>
            <sz val="8"/>
            <rFont val="Tahoma"/>
            <family val="0"/>
          </rPr>
          <t>Cable resistance only.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fred schindler</author>
  </authors>
  <commentList>
    <comment ref="A48" authorId="0">
      <text>
        <r>
          <rPr>
            <b/>
            <sz val="8"/>
            <rFont val="Tahoma"/>
            <family val="0"/>
          </rPr>
          <t>The minimum port voltage that ensures Vport Max. is the highest voltage.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This is a fixed upper limit due to the IEEE 802.3af specification.
This value was arrived at by looking at the SELV DC &amp; AC components. For PoE the AC components are due to AC-disconnect.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The minimum port voltage that ensures Vport Max. is the highest voltage.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Ignore the amount that the supply could be adjusted to compensate for a minimum port drop (ex. Diode).  This consideration is made  during the final calculation.  There will be a slight error due to the offset possible and the absolute supply accuracy available that should have been take into account. 1 V x 4 % = 40 mV.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Current balancing would effectively add a resistance in series with the low resistance path to make it equal to the other path resistance.</t>
        </r>
        <r>
          <rPr>
            <sz val="8"/>
            <rFont val="Tahoma"/>
            <family val="0"/>
          </rPr>
          <t xml:space="preserve">
Looking at the worst case difference between paths without balancing should provide a larger difference between Vport min. and max. than would be present when balancing is employed.</t>
        </r>
      </text>
    </comment>
    <comment ref="B25" authorId="0">
      <text>
        <r>
          <rPr>
            <b/>
            <sz val="8"/>
            <rFont val="Tahoma"/>
            <family val="0"/>
          </rPr>
          <t>Temperature and length match considered.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Cisco Systems, Inc.</author>
    <author>fred schindler</author>
  </authors>
  <commentList>
    <comment ref="B7" authorId="0">
      <text>
        <r>
          <rPr>
            <b/>
            <sz val="8"/>
            <rFont val="Tahoma"/>
            <family val="0"/>
          </rPr>
          <t>Enter desired value IEEE class determined automatically</t>
        </r>
        <r>
          <rPr>
            <sz val="8"/>
            <rFont val="Tahoma"/>
            <family val="0"/>
          </rPr>
          <t xml:space="preserve">
</t>
        </r>
      </text>
    </comment>
    <comment ref="B14" authorId="1">
      <text>
        <r>
          <rPr>
            <b/>
            <sz val="8"/>
            <rFont val="Tahoma"/>
            <family val="0"/>
          </rPr>
          <t>Values outside the AF range produce invalid results here.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fred schindler</author>
  </authors>
  <commentList>
    <comment ref="E12" authorId="0">
      <text>
        <r>
          <rPr>
            <sz val="8"/>
            <rFont val="Tahoma"/>
            <family val="0"/>
          </rPr>
          <t xml:space="preserve">11801 uses
Runbal = Rdiff/(Rmax + Rmin)
</t>
        </r>
      </text>
    </comment>
    <comment ref="E11" authorId="0">
      <text>
        <r>
          <rPr>
            <b/>
            <sz val="8"/>
            <rFont val="Tahoma"/>
            <family val="0"/>
          </rPr>
          <t>ASTMD 4566 uses
% R unbalance = Rdiff/Rmin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sz val="8"/>
            <rFont val="Tahoma"/>
            <family val="0"/>
          </rPr>
          <t xml:space="preserve">60512
Runbal = Rdiff/(Rmax + Rmin)
</t>
        </r>
      </text>
    </comment>
  </commentList>
</comments>
</file>

<file path=xl/comments5.xml><?xml version="1.0" encoding="utf-8"?>
<comments xmlns="http://schemas.openxmlformats.org/spreadsheetml/2006/main">
  <authors>
    <author>fred schindler</author>
  </authors>
  <commentList>
    <comment ref="C8" authorId="0">
      <text>
        <r>
          <rPr>
            <b/>
            <sz val="8"/>
            <rFont val="Tahoma"/>
            <family val="0"/>
          </rPr>
          <t>This is a fixed upper limit due to the IEEE 802.3af specification.
This value was arrived at by looking at the SELV DC &amp; AC components. For PoE the AC components are due to AC-disconnect.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Measured from CT to line lead.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For copper wire at 20 C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Not included within the total supply tolerance.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fred schindler</author>
  </authors>
  <commentList>
    <comment ref="N8" authorId="0">
      <text>
        <r>
          <rPr>
            <b/>
            <sz val="8"/>
            <rFont val="Tahoma"/>
            <family val="0"/>
          </rPr>
          <t>Includes the 1 V margin built into the specification.  This permits a calculated Vpd to be compared to the existing spec.</t>
        </r>
        <r>
          <rPr>
            <sz val="8"/>
            <rFont val="Tahoma"/>
            <family val="0"/>
          </rPr>
          <t xml:space="preserve">
IEEE 802.3af
@ Iport_max Vpd = 37 V
@ Icut Vpd = 36 V</t>
        </r>
      </text>
    </comment>
  </commentList>
</comments>
</file>

<file path=xl/sharedStrings.xml><?xml version="1.0" encoding="utf-8"?>
<sst xmlns="http://schemas.openxmlformats.org/spreadsheetml/2006/main" count="586" uniqueCount="317">
  <si>
    <t>Unit</t>
  </si>
  <si>
    <t>Min.</t>
  </si>
  <si>
    <t>Max.</t>
  </si>
  <si>
    <t>Vdc</t>
  </si>
  <si>
    <t>ohm</t>
  </si>
  <si>
    <t>W</t>
  </si>
  <si>
    <t>A</t>
  </si>
  <si>
    <t>ports</t>
  </si>
  <si>
    <t>Transient response</t>
  </si>
  <si>
    <t>V</t>
  </si>
  <si>
    <t>CM choke</t>
  </si>
  <si>
    <t>Transformer and port choke</t>
  </si>
  <si>
    <t>ohms</t>
  </si>
  <si>
    <t>PCB</t>
  </si>
  <si>
    <t>Diode (ac disconnect)</t>
  </si>
  <si>
    <t>Supply to port variation</t>
  </si>
  <si>
    <t>MOSFET</t>
  </si>
  <si>
    <t>Power at the PD:</t>
  </si>
  <si>
    <t>Watts</t>
  </si>
  <si>
    <t>IEEE</t>
  </si>
  <si>
    <t>PSE Supply Voltage:</t>
  </si>
  <si>
    <t>Volts</t>
  </si>
  <si>
    <t>Ohms</t>
  </si>
  <si>
    <t>Ohm</t>
  </si>
  <si>
    <t>Power  Required at PSE:</t>
  </si>
  <si>
    <t>Current Drawn</t>
  </si>
  <si>
    <t>PD Voltage</t>
  </si>
  <si>
    <t>Class</t>
  </si>
  <si>
    <t>Notes:</t>
  </si>
  <si>
    <t>reserved</t>
  </si>
  <si>
    <t>PoEplus</t>
  </si>
  <si>
    <t>Setting tolerance</t>
  </si>
  <si>
    <t>%</t>
  </si>
  <si>
    <t>Rout</t>
  </si>
  <si>
    <t>mohm</t>
  </si>
  <si>
    <t>Rout voltage error</t>
  </si>
  <si>
    <t>Rsense</t>
  </si>
  <si>
    <t>Rsense tolerance</t>
  </si>
  <si>
    <t>Typical</t>
  </si>
  <si>
    <t>MOSFET &amp; Rsense</t>
  </si>
  <si>
    <t>Internal MOSFET</t>
  </si>
  <si>
    <t>External MOSFET</t>
  </si>
  <si>
    <t>Port Current ( at Est. Vpse min. 2-pair)</t>
  </si>
  <si>
    <t>IEEE 802.3at Static &amp; Dynamic Vport Estimator</t>
  </si>
  <si>
    <t>1) Supply AC-DC</t>
  </si>
  <si>
    <t>2) Distribution</t>
  </si>
  <si>
    <t>3, 4, 5, 6) Port Control</t>
  </si>
  <si>
    <t>Port variation (DC, 2 pair)</t>
  </si>
  <si>
    <t>Port variation (DC + AC, 2 pair)</t>
  </si>
  <si>
    <t>Minimum Vport (DC, 2 pair)</t>
  </si>
  <si>
    <t>Minimum Vport (DC + AC, 2 pair)</t>
  </si>
  <si>
    <t>Port drop (2 pair)</t>
  </si>
  <si>
    <t>Port drop (4 pair)</t>
  </si>
  <si>
    <t>Port variation (DC, 4 pair)</t>
  </si>
  <si>
    <t>Port variation (DC + AC, 4 pair)</t>
  </si>
  <si>
    <t>Minimum Vport (DC, 4 pair)</t>
  </si>
  <si>
    <t>Minimum Vport (DC + AC, 4 pair)</t>
  </si>
  <si>
    <t>Vmin</t>
  </si>
  <si>
    <t>Notes</t>
  </si>
  <si>
    <t>1) Start by specifying the circuit parameters.</t>
  </si>
  <si>
    <t>2-pair</t>
  </si>
  <si>
    <t>4-pair</t>
  </si>
  <si>
    <t>Parameter</t>
  </si>
  <si>
    <t>Rconnector</t>
  </si>
  <si>
    <t>Rcable_conductor</t>
  </si>
  <si>
    <t>Cable Length</t>
  </si>
  <si>
    <t>m</t>
  </si>
  <si>
    <t>ohm/m</t>
  </si>
  <si>
    <t>Description</t>
  </si>
  <si>
    <t>Rmate</t>
  </si>
  <si>
    <t>RJ-45 mated connector resistance.</t>
  </si>
  <si>
    <t>Standard</t>
  </si>
  <si>
    <t>IEC 60512-2</t>
  </si>
  <si>
    <t>IEC 60512-2, Test 2a</t>
  </si>
  <si>
    <t>Rmate_diff</t>
  </si>
  <si>
    <t>RJ-45 difference between mated connectors.</t>
  </si>
  <si>
    <t>61156-5 3.2.1</t>
  </si>
  <si>
    <t>IEEE 802.3</t>
  </si>
  <si>
    <t>10/100/1000 Cable length</t>
  </si>
  <si>
    <t>Rcable_cond_diff</t>
  </si>
  <si>
    <t>ASTM D 4566</t>
  </si>
  <si>
    <t>Cable resistance imbalance at 20C.</t>
  </si>
  <si>
    <t>DC resistance conductor imbalance within a pair for all class of cable.</t>
  </si>
  <si>
    <t>Conductor resistance imbalance.</t>
  </si>
  <si>
    <t>11801 6.4.8</t>
  </si>
  <si>
    <t>CAT-3 Conductor loop resistance.  The resistance is from the start of the connector to the end and back.</t>
  </si>
  <si>
    <t>Length</t>
  </si>
  <si>
    <t>Rcable</t>
  </si>
  <si>
    <t>Number of connectors</t>
  </si>
  <si>
    <t>RJ-45 connectors</t>
  </si>
  <si>
    <t>Connector resistance</t>
  </si>
  <si>
    <t>Connection diff.</t>
  </si>
  <si>
    <t>Channel resistance</t>
  </si>
  <si>
    <t>Resistance from start to end of cable.</t>
  </si>
  <si>
    <t>RJ-45 connector resistance.  This is per side of a connector.  One connection has two sides.</t>
  </si>
  <si>
    <t>Channel res. unbalance</t>
  </si>
  <si>
    <t>mA</t>
  </si>
  <si>
    <t>Pair current imbalance</t>
  </si>
  <si>
    <t>Current Imbalance Estimator</t>
  </si>
  <si>
    <t>Unused pairs with no transformer</t>
  </si>
  <si>
    <t>Transformer resistance</t>
  </si>
  <si>
    <t>Trans. Res. Unbalance</t>
  </si>
  <si>
    <t>Signal pairs with a transformer.</t>
  </si>
  <si>
    <t>Pair resistance</t>
  </si>
  <si>
    <t>Pair res. unbalance</t>
  </si>
  <si>
    <t>Pair to pair unbalance</t>
  </si>
  <si>
    <t>Pair current</t>
  </si>
  <si>
    <t>Pair current % of nominal</t>
  </si>
  <si>
    <t>Nominal pair current</t>
  </si>
  <si>
    <t>ma</t>
  </si>
  <si>
    <t>Iport max.</t>
  </si>
  <si>
    <t>Wire current 2-pair</t>
  </si>
  <si>
    <t>Wire current 4-pair</t>
  </si>
  <si>
    <t>PD Power</t>
  </si>
  <si>
    <t>Value</t>
  </si>
  <si>
    <t>Cable resistance max.</t>
  </si>
  <si>
    <t>PSE Power</t>
  </si>
  <si>
    <t>Vmin cal.</t>
  </si>
  <si>
    <t>Ipair_max</t>
  </si>
  <si>
    <t>Conductor loop resistance.  The resistance is from the start of the connector to the end and back.</t>
  </si>
  <si>
    <t>Pair channel resistance</t>
  </si>
  <si>
    <t>Pair chan. res. unbalance</t>
  </si>
  <si>
    <t>PSE Port Power 2-pair</t>
  </si>
  <si>
    <t>PSE Port Power 4-pair</t>
  </si>
  <si>
    <t>Est. Vpse 2-pair</t>
  </si>
  <si>
    <t>Est. Vpse 4-pair</t>
  </si>
  <si>
    <t>Ploss</t>
  </si>
  <si>
    <t>PD Power (W)</t>
  </si>
  <si>
    <t>Vpse_min (Vdc)</t>
  </si>
  <si>
    <t>Ppse (W)</t>
  </si>
  <si>
    <t>Ploss (W)</t>
  </si>
  <si>
    <t>1 &amp; 2) 4-pair voltage drop</t>
  </si>
  <si>
    <t>1 &amp; 2) 2-pair voltage drop</t>
  </si>
  <si>
    <t>channel imbalance</t>
  </si>
  <si>
    <t>Power Cost</t>
  </si>
  <si>
    <t>$/W</t>
  </si>
  <si>
    <t>Saved</t>
  </si>
  <si>
    <t>Sys. Pwr.</t>
  </si>
  <si>
    <t>1) Values are calculated based on the values specified.</t>
  </si>
  <si>
    <t>Iwire (mA)</t>
  </si>
  <si>
    <t>Iwire (A)</t>
  </si>
  <si>
    <t>IEEE 802.3af</t>
  </si>
  <si>
    <t>PD (W)</t>
  </si>
  <si>
    <t>PSE (W)</t>
  </si>
  <si>
    <t>1) IEEE 802.3af assumes 20-ohms for CAT-3 cable and connections.</t>
  </si>
  <si>
    <t>Port drop (2 pair) Int. MOSFET</t>
  </si>
  <si>
    <t>100 m CAT-5, 50 ports at the specified power.</t>
  </si>
  <si>
    <t>Vpd</t>
  </si>
  <si>
    <t>Vpd (V)</t>
  </si>
  <si>
    <t>Feedback or data was provided by the following individuals.</t>
  </si>
  <si>
    <t>Person</t>
  </si>
  <si>
    <t>Company</t>
  </si>
  <si>
    <t>diff</t>
  </si>
  <si>
    <t>mΩ</t>
  </si>
  <si>
    <t>1) Supplied by Pulse. 2006-02-03</t>
  </si>
  <si>
    <t>2) 3% wire resistance matching worst-case.</t>
  </si>
  <si>
    <t>3) Additional errors in resistance are due to length matching.</t>
  </si>
  <si>
    <t>4) Max. diff. show the maximum difference between measurements within the same transformer.</t>
  </si>
  <si>
    <t>Rbal.</t>
  </si>
  <si>
    <t>See Misc. section for alternate values.</t>
  </si>
  <si>
    <t>5) Estimate current imbalance possible 20 to 30-mA.</t>
  </si>
  <si>
    <t>Setting accuracy</t>
  </si>
  <si>
    <t>mV</t>
  </si>
  <si>
    <t>Rout (cable &amp; supply)</t>
  </si>
  <si>
    <t>Line Regulation</t>
  </si>
  <si>
    <t>Load Regulation</t>
  </si>
  <si>
    <t>Temperature drift</t>
  </si>
  <si>
    <t>Inlet temperature</t>
  </si>
  <si>
    <t>C</t>
  </si>
  <si>
    <t>Aging</t>
  </si>
  <si>
    <t>Vpd_min</t>
  </si>
  <si>
    <t>Keith Hopwood</t>
  </si>
  <si>
    <t>Phihong</t>
  </si>
  <si>
    <t>Raul Lozano</t>
  </si>
  <si>
    <t>Pulse</t>
  </si>
  <si>
    <t>Provided Pulse transformer data.</t>
  </si>
  <si>
    <t>Review version 2</t>
  </si>
  <si>
    <t>Clay Stanford</t>
  </si>
  <si>
    <t>Linear Technology</t>
  </si>
  <si>
    <t>Fred Schindler</t>
  </si>
  <si>
    <t>Author of the spreadsheet</t>
  </si>
  <si>
    <t>Cisco Systems</t>
  </si>
  <si>
    <t>Taugfigue Ahmed</t>
  </si>
  <si>
    <t>Akros Silicon</t>
  </si>
  <si>
    <t>Robert Dixon</t>
  </si>
  <si>
    <t>National Semiconductor</t>
  </si>
  <si>
    <t>Supply voltage</t>
  </si>
  <si>
    <t>Vrms</t>
  </si>
  <si>
    <t>Breaker Limit</t>
  </si>
  <si>
    <t>Arms</t>
  </si>
  <si>
    <t>NEC breaker derate</t>
  </si>
  <si>
    <t>AC-DC efficiency</t>
  </si>
  <si>
    <t>Subsystem Power</t>
  </si>
  <si>
    <t>PoE Power available</t>
  </si>
  <si>
    <t>Approach One</t>
  </si>
  <si>
    <t>48 ports of IEEE 802.3af full power</t>
  </si>
  <si>
    <t>Approach two</t>
  </si>
  <si>
    <t>System PoE power available</t>
  </si>
  <si>
    <t>4-pair ports available at the specified demand</t>
  </si>
  <si>
    <t>2-pair Ports available at the specified demand</t>
  </si>
  <si>
    <t>2-pair Supply drop (DC)</t>
  </si>
  <si>
    <t>2-pair Supply drop (DC + AC)</t>
  </si>
  <si>
    <t>2-pair Distributed voltage drop</t>
  </si>
  <si>
    <t>Ports available at specified power</t>
  </si>
  <si>
    <t>3) Update Rbal for the transformer using new values.</t>
  </si>
  <si>
    <t>Supply total voltage error</t>
  </si>
  <si>
    <t>Total supply tolerance</t>
  </si>
  <si>
    <t>System Power available for PoE</t>
  </si>
  <si>
    <t>Thong Nguyen</t>
  </si>
  <si>
    <t>Maxim</t>
  </si>
  <si>
    <t>Ramesh Sastry</t>
  </si>
  <si>
    <t>Sajol Ghoshal</t>
  </si>
  <si>
    <t>Bill Delveaux</t>
  </si>
  <si>
    <t>Matthew Landry</t>
  </si>
  <si>
    <t>Silicon Labs</t>
  </si>
  <si>
    <t>Chad Jones</t>
  </si>
  <si>
    <t>Attendance for Feb. 17 Ad hoc review v5.</t>
  </si>
  <si>
    <t>Port Current ( at Est. Vpse min. 4-pair) Pair Current</t>
  </si>
  <si>
    <t>Review version 5</t>
  </si>
  <si>
    <t>Cable resistance max. for spec. length</t>
  </si>
  <si>
    <t>Vpse_min (specified value)</t>
  </si>
  <si>
    <t>Vpse_min_cal (calculated value)</t>
  </si>
  <si>
    <t>Ipair_max (specified value)</t>
  </si>
  <si>
    <t>Ipair_max_cal (calculated value)</t>
  </si>
  <si>
    <t>Maximum channel resistance</t>
  </si>
  <si>
    <t>IEEE MDI Voltage</t>
  </si>
  <si>
    <t>1) System Parameters</t>
  </si>
  <si>
    <t>2) Supply AC-DC</t>
  </si>
  <si>
    <t>3) Maximum Capacity Estimate</t>
  </si>
  <si>
    <t>4) Transformer</t>
  </si>
  <si>
    <t>Thermal Coef.</t>
  </si>
  <si>
    <t>Temperature change</t>
  </si>
  <si>
    <t>5) Copper Wire Resistance</t>
  </si>
  <si>
    <t>Resistance change factor</t>
  </si>
  <si>
    <t>Max. to Min. ratio</t>
  </si>
  <si>
    <t>Supply total tolerance (error about nominal)</t>
  </si>
  <si>
    <t>2) See the cable sheet for channel resistance calculations.</t>
  </si>
  <si>
    <t>1) PD requirements are obtained from the Sys sheet.</t>
  </si>
  <si>
    <t>2) Channel resistance is obtained from the cable sheet.</t>
  </si>
  <si>
    <t>3) PSE supply voltages are obtained from the Sys sheet specified value.</t>
  </si>
  <si>
    <t>&lt;-- ohms</t>
  </si>
  <si>
    <t>Fuse resistance (fuse or PTC)</t>
  </si>
  <si>
    <t>MOSFET &amp; Rsense (internal or external MOSFET)</t>
  </si>
  <si>
    <t>2) Set the power and Vmin in the grey table collecting the results.</t>
  </si>
  <si>
    <t>4) These calculations ignore power consumed by PoE support circuits (ex/ PoE controller and DC-DC).</t>
  </si>
  <si>
    <t>Channel Resistance:</t>
  </si>
  <si>
    <t>2)  IEEE 802.3af used 3% transformer resistance balance from Pulse.</t>
  </si>
  <si>
    <t>Channel resistance inc. trans.</t>
  </si>
  <si>
    <t xml:space="preserve">1) The draft TIA/EIA-568 shows cat-3 at 20 ohms.  IEEE 802.3af used 19 ohms. </t>
  </si>
  <si>
    <t>Values vary for the same measurement from different sources.</t>
  </si>
  <si>
    <t>See "DC Cabling Balance" on IEEE 802.3at January 2006 web page.</t>
  </si>
  <si>
    <t>DC Cabling Balance</t>
  </si>
  <si>
    <t>Analysis Explained</t>
  </si>
  <si>
    <t>1) This is a worst-case analysis.</t>
  </si>
  <si>
    <t>2) The system power is always set to the maximum.</t>
  </si>
  <si>
    <t>5) A full loaded system determines the minimum port voltage produced.</t>
  </si>
  <si>
    <t>Purpose</t>
  </si>
  <si>
    <t>1) To determine the MDI voltage range for the broader part of the PoE plus market.</t>
  </si>
  <si>
    <t>System that draw more power will have to be optimized to fit within the range generated by this analysis.</t>
  </si>
  <si>
    <t>4) A one port minimum system load must be below the IEEE 802.3af maximum Vport requirement.</t>
  </si>
  <si>
    <t>A port with a min. Vdrop permits the supply voltage to be increased by this</t>
  </si>
  <si>
    <t>amount while still meeting the port maximum voltage limit.</t>
  </si>
  <si>
    <t>Average power on remaining ports</t>
  </si>
  <si>
    <t>3) The pair current need to match (use iteration) for 4P calculations when channel imbalance is being monitored.</t>
  </si>
  <si>
    <t>4-pair, pair current balance error. Symmetric about Inom</t>
  </si>
  <si>
    <t>3) Use iteration to get to a stable Vmin.  Vmin set should equal Vmin calculated.</t>
  </si>
  <si>
    <t>5) The maximum system power is always used.  This maximizes the power entry voltage drops.</t>
  </si>
  <si>
    <t>38 gauge, no common mode choke</t>
  </si>
  <si>
    <t>38 gauge, with common mode choke</t>
  </si>
  <si>
    <t>39 gauge, no common mode choke</t>
  </si>
  <si>
    <t>39 gauge, with common mode choke</t>
  </si>
  <si>
    <t xml:space="preserve">3) The system power maximum (see sheet Misc) estimates that the broader part of the market </t>
  </si>
  <si>
    <t>draws the maximum power for a 15A AC circuit.</t>
  </si>
  <si>
    <t>2) When the values specified equal the value calculated (use iteration) the correct system value is determined.</t>
  </si>
  <si>
    <t>4) See the cable sheet for cable resistance values to use.</t>
  </si>
  <si>
    <t>6) Values are obtained from the sys sheet.</t>
  </si>
  <si>
    <t>4) The channel resistance removes the transformer resistance because this is already taken into account by the Vpse value.</t>
  </si>
  <si>
    <t>1) Values in PD Power, Vpse_min, and Ppse need to be specified.</t>
  </si>
  <si>
    <t>Thuyen Dinh</t>
  </si>
  <si>
    <t>Tranformer data</t>
  </si>
  <si>
    <t>2) To provide additional useful PoE system data.</t>
  </si>
  <si>
    <t xml:space="preserve">4) This model has two RJ-45 connectors that result in four connections within </t>
  </si>
  <si>
    <t>the channel.</t>
  </si>
  <si>
    <t xml:space="preserve">5) This table produces the IEEE 802.3af values determined by Chris De Minico </t>
  </si>
  <si>
    <t xml:space="preserve"> when CAT-3 values are used.</t>
  </si>
  <si>
    <t>Balanced Wire Current</t>
  </si>
  <si>
    <t>Acknowledgements</t>
  </si>
  <si>
    <t>Anoop Vetteth</t>
  </si>
  <si>
    <t>David Law</t>
  </si>
  <si>
    <t>3COM</t>
  </si>
  <si>
    <t>Bel</t>
  </si>
  <si>
    <t>Brian Buckmeir</t>
  </si>
  <si>
    <t>Wael Diab</t>
  </si>
  <si>
    <t>Attendance for May 17 Ad hoc review v7 &amp; Presentation</t>
  </si>
  <si>
    <t>Yair Darshan</t>
  </si>
  <si>
    <t>PowerDsine</t>
  </si>
  <si>
    <t>Feedback on Presentation v1</t>
  </si>
  <si>
    <t>Broadcom</t>
  </si>
  <si>
    <t>Helen Kastner</t>
  </si>
  <si>
    <t>fred schindler, Cisco Systems, frs@cisco.com, v9</t>
  </si>
  <si>
    <t>Revision History</t>
  </si>
  <si>
    <t>version</t>
  </si>
  <si>
    <t>v8</t>
  </si>
  <si>
    <t>First Public release of this document.</t>
  </si>
  <si>
    <t>v9</t>
  </si>
  <si>
    <t>Sheet-Vport_min C11 Adjust to keep distribution power consumed constant.</t>
  </si>
  <si>
    <t>B29, C29, B42, C42 Adjust to use pair current  (previously double accounted).</t>
  </si>
  <si>
    <t>2) The graph produces smoother lines when more significant digits are provided.</t>
  </si>
  <si>
    <t>Symbol</t>
  </si>
  <si>
    <t>ratio</t>
  </si>
  <si>
    <t>Icut</t>
  </si>
  <si>
    <t>Ilim</t>
  </si>
  <si>
    <t>IEEE 802.3at</t>
  </si>
  <si>
    <t>Sheet graphs, add Icut and Ilim checks for Vpd.</t>
  </si>
  <si>
    <t>3) The IEEE 802.3af currnet limits are scaled to provide estimates of the IEEE 802.3at limits.  This information is used to estimate the voltage margin at the PD.</t>
  </si>
  <si>
    <t>Iport_max</t>
  </si>
  <si>
    <t>Taufique Ahmed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</si>
</sst>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[$-409]dddd\,\ mmmm\ dd\,\ yyyy"/>
    <numFmt numFmtId="173" formatCode="yyyy/mm/dd\ h: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_);_(* \(#,##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/>
    </xf>
    <xf numFmtId="166" fontId="2" fillId="0" borderId="0" xfId="0" applyNumberFormat="1" applyFont="1" applyAlignment="1">
      <alignment horizontal="center"/>
    </xf>
    <xf numFmtId="167" fontId="0" fillId="0" borderId="0" xfId="21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 horizontal="right"/>
    </xf>
    <xf numFmtId="2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2" fontId="2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165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" fillId="5" borderId="0" xfId="0" applyFont="1" applyFill="1" applyAlignment="1">
      <alignment/>
    </xf>
    <xf numFmtId="2" fontId="2" fillId="5" borderId="0" xfId="0" applyNumberFormat="1" applyFont="1" applyFill="1" applyAlignment="1">
      <alignment horizontal="center"/>
    </xf>
    <xf numFmtId="0" fontId="0" fillId="5" borderId="0" xfId="0" applyFill="1" applyAlignment="1">
      <alignment/>
    </xf>
    <xf numFmtId="2" fontId="0" fillId="5" borderId="0" xfId="0" applyNumberFormat="1" applyFill="1" applyAlignment="1">
      <alignment horizontal="center"/>
    </xf>
    <xf numFmtId="0" fontId="7" fillId="0" borderId="0" xfId="0" applyFont="1" applyAlignment="1">
      <alignment horizontal="center"/>
    </xf>
    <xf numFmtId="166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 horizontal="center"/>
    </xf>
    <xf numFmtId="0" fontId="7" fillId="5" borderId="0" xfId="0" applyFont="1" applyFill="1" applyAlignment="1">
      <alignment/>
    </xf>
    <xf numFmtId="166" fontId="7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2" fillId="0" borderId="2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64" fontId="0" fillId="4" borderId="0" xfId="0" applyNumberFormat="1" applyFill="1" applyAlignment="1">
      <alignment/>
    </xf>
    <xf numFmtId="0" fontId="2" fillId="2" borderId="2" xfId="0" applyFont="1" applyFill="1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7" fontId="2" fillId="0" borderId="0" xfId="21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66" fontId="0" fillId="4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166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/>
    </xf>
    <xf numFmtId="166" fontId="0" fillId="0" borderId="0" xfId="21" applyNumberFormat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 horizontal="center"/>
    </xf>
    <xf numFmtId="0" fontId="0" fillId="0" borderId="0" xfId="17" applyNumberFormat="1" applyAlignment="1">
      <alignment/>
    </xf>
    <xf numFmtId="0" fontId="0" fillId="0" borderId="0" xfId="0" applyFont="1" applyAlignment="1">
      <alignment horizontal="center"/>
    </xf>
    <xf numFmtId="173" fontId="0" fillId="0" borderId="0" xfId="0" applyNumberFormat="1" applyAlignment="1">
      <alignment horizontal="left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21" applyNumberFormat="1" applyAlignment="1">
      <alignment horizontal="center"/>
    </xf>
    <xf numFmtId="0" fontId="0" fillId="6" borderId="2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2" borderId="0" xfId="0" applyFont="1" applyFill="1" applyAlignment="1">
      <alignment/>
    </xf>
    <xf numFmtId="166" fontId="0" fillId="0" borderId="0" xfId="21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" fontId="0" fillId="5" borderId="0" xfId="0" applyNumberFormat="1" applyFill="1" applyAlignment="1">
      <alignment horizontal="center"/>
    </xf>
    <xf numFmtId="167" fontId="0" fillId="0" borderId="0" xfId="21" applyNumberFormat="1" applyFont="1" applyAlignment="1">
      <alignment horizont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178" fontId="0" fillId="0" borderId="0" xfId="15" applyNumberFormat="1" applyAlignment="1">
      <alignment/>
    </xf>
    <xf numFmtId="178" fontId="0" fillId="0" borderId="0" xfId="15" applyNumberFormat="1" applyFont="1" applyAlignment="1">
      <alignment/>
    </xf>
    <xf numFmtId="0" fontId="0" fillId="0" borderId="0" xfId="0" applyNumberFormat="1" applyAlignment="1">
      <alignment/>
    </xf>
    <xf numFmtId="0" fontId="2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2" fillId="0" borderId="0" xfId="20" applyFont="1" applyAlignment="1">
      <alignment/>
    </xf>
    <xf numFmtId="166" fontId="2" fillId="0" borderId="0" xfId="0" applyNumberFormat="1" applyFont="1" applyAlignment="1">
      <alignment/>
    </xf>
    <xf numFmtId="164" fontId="0" fillId="3" borderId="0" xfId="0" applyNumberFormat="1" applyFill="1" applyAlignment="1">
      <alignment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2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Minimum Vpse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graphs!$B$10:$B$13</c:f>
              <c:numCache/>
            </c:numRef>
          </c:xVal>
          <c:yVal>
            <c:numRef>
              <c:f>graphs!$C$10:$C$13</c:f>
              <c:numCache/>
            </c:numRef>
          </c:yVal>
          <c:smooth val="1"/>
        </c:ser>
        <c:ser>
          <c:idx val="1"/>
          <c:order val="1"/>
          <c:tx>
            <c:v>4P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graphs!$B$10:$B$15</c:f>
              <c:numCache/>
            </c:numRef>
          </c:xVal>
          <c:yVal>
            <c:numRef>
              <c:f>graphs!$H$10:$H$15</c:f>
              <c:numCache/>
            </c:numRef>
          </c:yVal>
          <c:smooth val="1"/>
        </c:ser>
        <c:axId val="39476627"/>
        <c:axId val="19745324"/>
      </c:scatterChart>
      <c:valAx>
        <c:axId val="3947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PD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45324"/>
        <c:crosses val="autoZero"/>
        <c:crossBetween val="midCat"/>
        <c:dispUnits/>
      </c:valAx>
      <c:valAx>
        <c:axId val="19745324"/>
        <c:scaling>
          <c:orientation val="minMax"/>
          <c:max val="51"/>
          <c:min val="4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Vpse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76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Additional Power Loss per port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2P vs 4P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graphs!$B$10:$B$13</c:f>
              <c:numCache/>
            </c:numRef>
          </c:xVal>
          <c:yVal>
            <c:numRef>
              <c:f>graphs!$M$10:$M$13</c:f>
              <c:numCache/>
            </c:numRef>
          </c:yVal>
          <c:smooth val="1"/>
        </c:ser>
        <c:axId val="43490189"/>
        <c:axId val="55867382"/>
      </c:scatterChart>
      <c:valAx>
        <c:axId val="43490189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PD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67382"/>
        <c:crosses val="autoZero"/>
        <c:crossBetween val="midCat"/>
        <c:dispUnits/>
      </c:valAx>
      <c:valAx>
        <c:axId val="5586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90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Average Wire Current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2P Iwire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graphs!$B$10:$B$13</c:f>
              <c:numCache/>
            </c:numRef>
          </c:xVal>
          <c:yVal>
            <c:numRef>
              <c:f>graphs!$E$10:$E$13</c:f>
              <c:numCache/>
            </c:numRef>
          </c:yVal>
          <c:smooth val="1"/>
        </c:ser>
        <c:ser>
          <c:idx val="1"/>
          <c:order val="1"/>
          <c:tx>
            <c:v>4P Iwire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graphs!$B$10:$B$15</c:f>
              <c:numCache/>
            </c:numRef>
          </c:xVal>
          <c:yVal>
            <c:numRef>
              <c:f>graphs!$J$10:$J$15</c:f>
              <c:numCache/>
            </c:numRef>
          </c:yVal>
          <c:smooth val="1"/>
        </c:ser>
        <c:axId val="33044391"/>
        <c:axId val="28964064"/>
      </c:scatterChart>
      <c:valAx>
        <c:axId val="33044391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PD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64064"/>
        <c:crosses val="autoZero"/>
        <c:crossBetween val="midCat"/>
        <c:dispUnits/>
      </c:valAx>
      <c:valAx>
        <c:axId val="2896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Iwire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443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Minimum Vpd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2P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graphs!$B$10:$B$15</c:f>
              <c:numCache/>
            </c:numRef>
          </c:xVal>
          <c:yVal>
            <c:numRef>
              <c:f>graphs!$F$10:$F$13</c:f>
              <c:numCache/>
            </c:numRef>
          </c:yVal>
          <c:smooth val="1"/>
        </c:ser>
        <c:ser>
          <c:idx val="2"/>
          <c:order val="1"/>
          <c:tx>
            <c:v>4P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graphs!$B$10:$B$15</c:f>
              <c:numCache/>
            </c:numRef>
          </c:xVal>
          <c:yVal>
            <c:numRef>
              <c:f>graphs!$K$10:$K$15</c:f>
              <c:numCache/>
            </c:numRef>
          </c:yVal>
          <c:smooth val="1"/>
        </c:ser>
        <c:ser>
          <c:idx val="0"/>
          <c:order val="2"/>
          <c:tx>
            <c:v>IEEE 802.3af Vpd_min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graphs!$B$10:$B$15</c:f>
              <c:numCache/>
            </c:numRef>
          </c:xVal>
          <c:yVal>
            <c:numRef>
              <c:f>graphs!$N$10:$N$15</c:f>
              <c:numCache/>
            </c:numRef>
          </c:yVal>
          <c:smooth val="1"/>
        </c:ser>
        <c:axId val="59349985"/>
        <c:axId val="64387818"/>
      </c:scatterChart>
      <c:valAx>
        <c:axId val="59349985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7818"/>
        <c:crosses val="autoZero"/>
        <c:crossBetween val="midCat"/>
        <c:dispUnits/>
        <c:majorUnit val="10"/>
      </c:valAx>
      <c:valAx>
        <c:axId val="64387818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Vpd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499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28575</xdr:rowOff>
    </xdr:from>
    <xdr:to>
      <xdr:col>7</xdr:col>
      <xdr:colOff>866775</xdr:colOff>
      <xdr:row>35</xdr:row>
      <xdr:rowOff>133350</xdr:rowOff>
    </xdr:to>
    <xdr:graphicFrame>
      <xdr:nvGraphicFramePr>
        <xdr:cNvPr id="1" name="Chart 3"/>
        <xdr:cNvGraphicFramePr/>
      </xdr:nvGraphicFramePr>
      <xdr:xfrm>
        <a:off x="609600" y="2619375"/>
        <a:ext cx="53244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142875</xdr:rowOff>
    </xdr:from>
    <xdr:to>
      <xdr:col>8</xdr:col>
      <xdr:colOff>228600</xdr:colOff>
      <xdr:row>87</xdr:row>
      <xdr:rowOff>95250</xdr:rowOff>
    </xdr:to>
    <xdr:graphicFrame>
      <xdr:nvGraphicFramePr>
        <xdr:cNvPr id="2" name="Chart 4"/>
        <xdr:cNvGraphicFramePr/>
      </xdr:nvGraphicFramePr>
      <xdr:xfrm>
        <a:off x="628650" y="10344150"/>
        <a:ext cx="56769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38</xdr:row>
      <xdr:rowOff>0</xdr:rowOff>
    </xdr:from>
    <xdr:to>
      <xdr:col>8</xdr:col>
      <xdr:colOff>95250</xdr:colOff>
      <xdr:row>61</xdr:row>
      <xdr:rowOff>133350</xdr:rowOff>
    </xdr:to>
    <xdr:graphicFrame>
      <xdr:nvGraphicFramePr>
        <xdr:cNvPr id="3" name="Chart 8"/>
        <xdr:cNvGraphicFramePr/>
      </xdr:nvGraphicFramePr>
      <xdr:xfrm>
        <a:off x="619125" y="6153150"/>
        <a:ext cx="55530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90</xdr:row>
      <xdr:rowOff>0</xdr:rowOff>
    </xdr:from>
    <xdr:to>
      <xdr:col>9</xdr:col>
      <xdr:colOff>419100</xdr:colOff>
      <xdr:row>113</xdr:row>
      <xdr:rowOff>104775</xdr:rowOff>
    </xdr:to>
    <xdr:graphicFrame>
      <xdr:nvGraphicFramePr>
        <xdr:cNvPr id="4" name="Chart 17"/>
        <xdr:cNvGraphicFramePr/>
      </xdr:nvGraphicFramePr>
      <xdr:xfrm>
        <a:off x="619125" y="14573250"/>
        <a:ext cx="649605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3/at/public/jan06/index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5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34.140625" style="0" customWidth="1"/>
    <col min="2" max="2" width="8.00390625" style="0" customWidth="1"/>
    <col min="3" max="3" width="7.421875" style="0" customWidth="1"/>
    <col min="7" max="7" width="10.421875" style="0" bestFit="1" customWidth="1"/>
  </cols>
  <sheetData>
    <row r="4" spans="6:12" ht="12.75">
      <c r="F4" s="131" t="s">
        <v>256</v>
      </c>
      <c r="G4" s="131"/>
      <c r="H4" s="131"/>
      <c r="I4" s="131"/>
      <c r="J4" s="131"/>
      <c r="K4" s="131"/>
      <c r="L4" s="131"/>
    </row>
    <row r="5" ht="12.75">
      <c r="F5" t="s">
        <v>257</v>
      </c>
    </row>
    <row r="6" ht="12.75">
      <c r="F6" t="s">
        <v>280</v>
      </c>
    </row>
    <row r="7" spans="1:3" ht="12.75">
      <c r="A7" s="4" t="s">
        <v>62</v>
      </c>
      <c r="B7" s="18" t="s">
        <v>114</v>
      </c>
      <c r="C7" s="4" t="s">
        <v>0</v>
      </c>
    </row>
    <row r="8" spans="1:3" ht="12.75">
      <c r="A8" t="s">
        <v>113</v>
      </c>
      <c r="B8" s="3">
        <v>30</v>
      </c>
      <c r="C8" s="3" t="s">
        <v>5</v>
      </c>
    </row>
    <row r="9" spans="1:3" ht="12.75">
      <c r="A9" t="s">
        <v>65</v>
      </c>
      <c r="B9">
        <v>100</v>
      </c>
      <c r="C9" t="s">
        <v>66</v>
      </c>
    </row>
    <row r="10" spans="1:3" ht="12.75">
      <c r="A10" t="s">
        <v>115</v>
      </c>
      <c r="B10">
        <f>12.5/100</f>
        <v>0.125</v>
      </c>
      <c r="C10" t="s">
        <v>67</v>
      </c>
    </row>
    <row r="11" spans="1:3" ht="12.75">
      <c r="A11" t="s">
        <v>219</v>
      </c>
      <c r="B11">
        <f>B9*B10</f>
        <v>12.5</v>
      </c>
      <c r="C11" t="s">
        <v>12</v>
      </c>
    </row>
    <row r="12" spans="1:12" ht="12.75">
      <c r="A12" t="s">
        <v>207</v>
      </c>
      <c r="B12" s="80">
        <f>15.4*48</f>
        <v>739.2</v>
      </c>
      <c r="C12" t="s">
        <v>5</v>
      </c>
      <c r="F12" s="131" t="s">
        <v>252</v>
      </c>
      <c r="G12" s="131"/>
      <c r="H12" s="131"/>
      <c r="I12" s="131"/>
      <c r="J12" s="131"/>
      <c r="K12" s="131"/>
      <c r="L12" s="131"/>
    </row>
    <row r="13" ht="12.75">
      <c r="F13" t="s">
        <v>253</v>
      </c>
    </row>
    <row r="14" spans="1:6" ht="12.75">
      <c r="A14" t="s">
        <v>203</v>
      </c>
      <c r="B14" s="80">
        <f>'Vport min'!C12</f>
        <v>18</v>
      </c>
      <c r="C14" t="s">
        <v>7</v>
      </c>
      <c r="D14" s="129" t="s">
        <v>60</v>
      </c>
      <c r="F14" t="s">
        <v>254</v>
      </c>
    </row>
    <row r="15" spans="1:6" ht="12.75">
      <c r="A15" t="s">
        <v>220</v>
      </c>
      <c r="B15" s="120">
        <v>48.9</v>
      </c>
      <c r="C15" s="3" t="s">
        <v>3</v>
      </c>
      <c r="D15" s="129"/>
      <c r="F15" t="s">
        <v>271</v>
      </c>
    </row>
    <row r="16" spans="1:6" ht="12.75">
      <c r="A16" s="84" t="s">
        <v>221</v>
      </c>
      <c r="B16" s="85">
        <f>'Vport min'!H59</f>
        <v>48.86748407914436</v>
      </c>
      <c r="C16" s="84" t="s">
        <v>3</v>
      </c>
      <c r="D16" s="129"/>
      <c r="F16" t="s">
        <v>272</v>
      </c>
    </row>
    <row r="17" spans="1:6" ht="12.75">
      <c r="A17" t="s">
        <v>116</v>
      </c>
      <c r="B17" s="120">
        <f>PD!D12</f>
        <v>38.942123129929655</v>
      </c>
      <c r="C17" s="3" t="s">
        <v>5</v>
      </c>
      <c r="D17" s="129"/>
      <c r="F17" t="s">
        <v>258</v>
      </c>
    </row>
    <row r="18" spans="1:6" ht="12.75">
      <c r="A18" t="s">
        <v>118</v>
      </c>
      <c r="B18" s="80">
        <f>B17/B15*1000</f>
        <v>796.3624361948805</v>
      </c>
      <c r="C18" t="s">
        <v>96</v>
      </c>
      <c r="D18" s="129"/>
      <c r="F18" t="s">
        <v>259</v>
      </c>
    </row>
    <row r="19" spans="1:6" ht="12.75">
      <c r="A19" t="s">
        <v>126</v>
      </c>
      <c r="B19" s="10">
        <f>B17-B8</f>
        <v>8.942123129929655</v>
      </c>
      <c r="C19" t="s">
        <v>5</v>
      </c>
      <c r="D19" s="129"/>
      <c r="F19" t="s">
        <v>255</v>
      </c>
    </row>
    <row r="20" spans="1:4" ht="12.75">
      <c r="A20" t="s">
        <v>147</v>
      </c>
      <c r="B20" s="10">
        <f>PD!D14</f>
        <v>37.67128964965219</v>
      </c>
      <c r="C20" t="s">
        <v>3</v>
      </c>
      <c r="D20" s="129"/>
    </row>
    <row r="21" spans="1:4" ht="12.75">
      <c r="A21" t="s">
        <v>224</v>
      </c>
      <c r="B21" s="10">
        <f>cable!C24*2</f>
        <v>14.1</v>
      </c>
      <c r="C21" t="s">
        <v>12</v>
      </c>
      <c r="D21" s="129"/>
    </row>
    <row r="22" spans="1:4" ht="12.75">
      <c r="A22" t="s">
        <v>133</v>
      </c>
      <c r="B22" s="88">
        <f>cable!C25*100</f>
        <v>3.259620907524413</v>
      </c>
      <c r="C22" t="s">
        <v>32</v>
      </c>
      <c r="D22" s="129"/>
    </row>
    <row r="23" spans="1:4" ht="12.75">
      <c r="A23" t="s">
        <v>133</v>
      </c>
      <c r="B23" s="88">
        <f>cable!C26</f>
        <v>25.95839646987909</v>
      </c>
      <c r="C23" t="s">
        <v>96</v>
      </c>
      <c r="D23" s="129"/>
    </row>
    <row r="24" spans="1:4" ht="12.75">
      <c r="A24" t="s">
        <v>262</v>
      </c>
      <c r="B24" s="88">
        <f>IF(B14=48,0,(B12-B17*B14)/(48-B14))</f>
        <v>1.2747261220422084</v>
      </c>
      <c r="C24" t="s">
        <v>5</v>
      </c>
      <c r="D24" s="117"/>
    </row>
    <row r="25" spans="2:4" ht="12.75">
      <c r="B25" s="80"/>
      <c r="D25" s="83"/>
    </row>
    <row r="26" spans="1:4" ht="12.75">
      <c r="A26" t="s">
        <v>203</v>
      </c>
      <c r="B26" s="80">
        <f>'Vport min'!C13</f>
        <v>22</v>
      </c>
      <c r="C26" t="s">
        <v>7</v>
      </c>
      <c r="D26" s="130" t="s">
        <v>61</v>
      </c>
    </row>
    <row r="27" spans="1:4" ht="12.75">
      <c r="A27" t="s">
        <v>220</v>
      </c>
      <c r="B27" s="120">
        <v>50.3</v>
      </c>
      <c r="C27" s="3" t="s">
        <v>3</v>
      </c>
      <c r="D27" s="130"/>
    </row>
    <row r="28" spans="1:4" ht="12.75">
      <c r="A28" s="84" t="s">
        <v>221</v>
      </c>
      <c r="B28" s="85">
        <f>'Vport min'!B54</f>
        <v>50.25810262227264</v>
      </c>
      <c r="C28" s="84" t="s">
        <v>3</v>
      </c>
      <c r="D28" s="130"/>
    </row>
    <row r="29" spans="1:4" ht="12.75">
      <c r="A29" t="s">
        <v>116</v>
      </c>
      <c r="B29" s="120">
        <f>'Vport min'!C8</f>
        <v>33.0422283001016</v>
      </c>
      <c r="C29" s="3" t="s">
        <v>5</v>
      </c>
      <c r="D29" s="130"/>
    </row>
    <row r="30" spans="1:4" ht="12.75">
      <c r="A30" t="s">
        <v>222</v>
      </c>
      <c r="B30" s="80">
        <v>672</v>
      </c>
      <c r="C30" t="s">
        <v>96</v>
      </c>
      <c r="D30" s="130"/>
    </row>
    <row r="31" spans="1:4" ht="12.75">
      <c r="A31" s="84" t="s">
        <v>223</v>
      </c>
      <c r="B31" s="87">
        <f>'Vport min'!G54</f>
        <v>680.8589185173064</v>
      </c>
      <c r="C31" s="84" t="s">
        <v>96</v>
      </c>
      <c r="D31" s="130"/>
    </row>
    <row r="32" spans="1:4" ht="12.75">
      <c r="A32" t="s">
        <v>126</v>
      </c>
      <c r="B32" s="10">
        <f>B29-B8</f>
        <v>3.0422283001015984</v>
      </c>
      <c r="C32" t="s">
        <v>5</v>
      </c>
      <c r="D32" s="130"/>
    </row>
    <row r="33" spans="1:4" ht="12.75">
      <c r="A33" t="s">
        <v>147</v>
      </c>
      <c r="B33" s="10">
        <f>PD!F14</f>
        <v>45.668832812808816</v>
      </c>
      <c r="C33" t="s">
        <v>3</v>
      </c>
      <c r="D33" s="130"/>
    </row>
    <row r="34" spans="1:4" ht="12.75">
      <c r="A34" t="s">
        <v>224</v>
      </c>
      <c r="B34" s="10">
        <f>B21/2</f>
        <v>7.05</v>
      </c>
      <c r="C34" t="s">
        <v>12</v>
      </c>
      <c r="D34" s="130"/>
    </row>
    <row r="35" spans="1:4" ht="12.75">
      <c r="A35" t="s">
        <v>133</v>
      </c>
      <c r="B35" s="88">
        <f>cable!C36*100</f>
        <v>3.5604411643966847</v>
      </c>
      <c r="C35" t="s">
        <v>32</v>
      </c>
      <c r="D35" s="130"/>
    </row>
    <row r="36" spans="1:4" ht="12.75">
      <c r="A36" t="s">
        <v>133</v>
      </c>
      <c r="B36" s="88">
        <f>cable!C39-cable!B39</f>
        <v>23.926164624745752</v>
      </c>
      <c r="C36" t="s">
        <v>96</v>
      </c>
      <c r="D36" s="130"/>
    </row>
    <row r="37" spans="1:4" ht="12.75">
      <c r="A37" t="s">
        <v>262</v>
      </c>
      <c r="B37" s="88">
        <f>IF(B26=48,0,(B12-B26*B29)/(48-B26))</f>
        <v>0.4719606691448042</v>
      </c>
      <c r="C37" t="s">
        <v>5</v>
      </c>
      <c r="D37" s="118"/>
    </row>
    <row r="38" spans="2:4" ht="12.75">
      <c r="B38" s="88"/>
      <c r="D38" s="89"/>
    </row>
    <row r="39" spans="2:4" ht="12.75">
      <c r="B39" s="88"/>
      <c r="D39" s="89"/>
    </row>
    <row r="40" spans="1:4" ht="12.75">
      <c r="A40" t="s">
        <v>28</v>
      </c>
      <c r="B40" s="88"/>
      <c r="D40" s="89"/>
    </row>
    <row r="41" spans="1:4" ht="12.75">
      <c r="A41" t="s">
        <v>138</v>
      </c>
      <c r="B41" s="88"/>
      <c r="D41" s="89"/>
    </row>
    <row r="42" spans="1:4" ht="12.75">
      <c r="A42" t="s">
        <v>273</v>
      </c>
      <c r="B42" s="88"/>
      <c r="D42" s="89"/>
    </row>
    <row r="43" spans="1:4" ht="12.75">
      <c r="A43" t="s">
        <v>263</v>
      </c>
      <c r="B43" s="88"/>
      <c r="D43" s="89"/>
    </row>
    <row r="44" spans="1:4" ht="12.75">
      <c r="A44" t="s">
        <v>274</v>
      </c>
      <c r="B44" s="88"/>
      <c r="D44" s="89"/>
    </row>
    <row r="45" spans="2:4" ht="12.75">
      <c r="B45" s="88"/>
      <c r="D45" s="89"/>
    </row>
  </sheetData>
  <mergeCells count="4">
    <mergeCell ref="D14:D23"/>
    <mergeCell ref="D26:D36"/>
    <mergeCell ref="F12:L12"/>
    <mergeCell ref="F4:L4"/>
  </mergeCells>
  <printOptions/>
  <pageMargins left="0.75" right="0.75" top="1" bottom="1" header="0.5" footer="0.5"/>
  <pageSetup fitToHeight="1" fitToWidth="1" horizontalDpi="600" verticalDpi="600" orientation="portrait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B7" sqref="B7"/>
    </sheetView>
  </sheetViews>
  <sheetFormatPr defaultColWidth="9.140625" defaultRowHeight="12.75"/>
  <cols>
    <col min="1" max="1" width="46.421875" style="0" customWidth="1"/>
    <col min="2" max="2" width="8.57421875" style="0" bestFit="1" customWidth="1"/>
    <col min="3" max="3" width="7.28125" style="0" bestFit="1" customWidth="1"/>
    <col min="4" max="4" width="8.7109375" style="0" bestFit="1" customWidth="1"/>
    <col min="5" max="5" width="7.8515625" style="0" customWidth="1"/>
    <col min="6" max="6" width="4.57421875" style="0" bestFit="1" customWidth="1"/>
    <col min="7" max="7" width="11.140625" style="0" customWidth="1"/>
    <col min="8" max="8" width="5.421875" style="0" bestFit="1" customWidth="1"/>
    <col min="9" max="9" width="7.57421875" style="0" bestFit="1" customWidth="1"/>
    <col min="10" max="10" width="2.57421875" style="0" customWidth="1"/>
    <col min="11" max="11" width="4.8515625" style="0" bestFit="1" customWidth="1"/>
    <col min="12" max="12" width="5.421875" style="0" bestFit="1" customWidth="1"/>
    <col min="13" max="13" width="7.57421875" style="0" bestFit="1" customWidth="1"/>
    <col min="14" max="14" width="7.57421875" style="0" customWidth="1"/>
    <col min="15" max="15" width="14.8515625" style="0" bestFit="1" customWidth="1"/>
    <col min="16" max="17" width="5.00390625" style="0" bestFit="1" customWidth="1"/>
  </cols>
  <sheetData>
    <row r="1" spans="2:13" ht="15.75">
      <c r="B1" s="133" t="s">
        <v>43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ht="12.75">
      <c r="A2" t="s">
        <v>299</v>
      </c>
    </row>
    <row r="3" ht="12.75">
      <c r="A3" s="93">
        <f ca="1">NOW()</f>
        <v>38860.48228344908</v>
      </c>
    </row>
    <row r="4" spans="2:14" ht="12.75">
      <c r="B4" s="4" t="s">
        <v>1</v>
      </c>
      <c r="C4" s="4" t="s">
        <v>2</v>
      </c>
      <c r="D4" s="4" t="s">
        <v>38</v>
      </c>
      <c r="E4" s="4" t="s">
        <v>0</v>
      </c>
      <c r="N4" s="4"/>
    </row>
    <row r="5" spans="1:5" ht="12.75">
      <c r="A5" t="s">
        <v>124</v>
      </c>
      <c r="B5" s="32">
        <f>H58</f>
        <v>48.9</v>
      </c>
      <c r="C5" s="1">
        <v>57</v>
      </c>
      <c r="D5" s="1"/>
      <c r="E5" s="1" t="s">
        <v>3</v>
      </c>
    </row>
    <row r="6" spans="1:5" ht="12.75">
      <c r="A6" s="35" t="s">
        <v>125</v>
      </c>
      <c r="B6" s="90">
        <f>Sys!B27</f>
        <v>50.3</v>
      </c>
      <c r="C6" s="90"/>
      <c r="D6" s="90"/>
      <c r="E6" s="90" t="s">
        <v>3</v>
      </c>
    </row>
    <row r="7" spans="1:5" ht="12.75">
      <c r="A7" t="s">
        <v>122</v>
      </c>
      <c r="B7" s="2">
        <f>B5*0.005*60/(60+400)</f>
        <v>0.03189130434782609</v>
      </c>
      <c r="C7" s="2">
        <f>Sys!B17</f>
        <v>38.942123129929655</v>
      </c>
      <c r="D7" s="1"/>
      <c r="E7" s="1" t="s">
        <v>5</v>
      </c>
    </row>
    <row r="8" spans="1:5" ht="12.75">
      <c r="A8" s="35" t="s">
        <v>123</v>
      </c>
      <c r="B8" s="36">
        <f>B7</f>
        <v>0.03189130434782609</v>
      </c>
      <c r="C8" s="36">
        <f>PD!F12</f>
        <v>33.0422283001016</v>
      </c>
      <c r="D8" s="90"/>
      <c r="E8" s="90" t="s">
        <v>5</v>
      </c>
    </row>
    <row r="9" spans="1:5" ht="12.75">
      <c r="A9" t="s">
        <v>42</v>
      </c>
      <c r="B9" s="2">
        <f>B7/C5</f>
        <v>0.0005594965675057208</v>
      </c>
      <c r="C9" s="2">
        <f>C7/B5</f>
        <v>0.7963624361948805</v>
      </c>
      <c r="D9" s="2"/>
      <c r="E9" s="1" t="s">
        <v>6</v>
      </c>
    </row>
    <row r="10" spans="1:5" ht="12.75">
      <c r="A10" s="35" t="s">
        <v>217</v>
      </c>
      <c r="B10" s="36">
        <f>B8/C5/2</f>
        <v>0.0002797482837528604</v>
      </c>
      <c r="C10" s="36">
        <f>C8/B6/2</f>
        <v>0.32845157355965804</v>
      </c>
      <c r="D10" s="36"/>
      <c r="E10" s="90" t="s">
        <v>6</v>
      </c>
    </row>
    <row r="11" spans="1:5" s="89" customFormat="1" ht="12.75">
      <c r="A11" s="89" t="s">
        <v>197</v>
      </c>
      <c r="B11" s="106">
        <v>0</v>
      </c>
      <c r="C11" s="108">
        <f>Sys!B12</f>
        <v>739.2</v>
      </c>
      <c r="D11" s="106"/>
      <c r="E11" s="107" t="s">
        <v>5</v>
      </c>
    </row>
    <row r="12" spans="1:5" ht="12.75">
      <c r="A12" s="89" t="s">
        <v>199</v>
      </c>
      <c r="B12" s="108">
        <v>1</v>
      </c>
      <c r="C12" s="108">
        <f>TRUNC(IF(C11/C7&gt;48,48,C11/C7))</f>
        <v>18</v>
      </c>
      <c r="D12" s="108"/>
      <c r="E12" s="107" t="s">
        <v>7</v>
      </c>
    </row>
    <row r="13" spans="1:5" ht="12.75">
      <c r="A13" s="35" t="s">
        <v>198</v>
      </c>
      <c r="B13" s="110">
        <v>1</v>
      </c>
      <c r="C13" s="110">
        <f>TRUNC(IF(C11/C8&gt;48,48,C11/C8))</f>
        <v>22</v>
      </c>
      <c r="D13" s="110"/>
      <c r="E13" s="90" t="s">
        <v>7</v>
      </c>
    </row>
    <row r="14" spans="2:5" ht="12.75">
      <c r="B14" s="2"/>
      <c r="C14" s="2"/>
      <c r="D14" s="2"/>
      <c r="E14" s="1"/>
    </row>
    <row r="15" spans="1:17" ht="12.75">
      <c r="A15" s="7" t="s">
        <v>44</v>
      </c>
      <c r="B15" s="1"/>
      <c r="C15" s="1"/>
      <c r="D15" s="1"/>
      <c r="E15" s="1"/>
      <c r="O15" s="1"/>
      <c r="P15" s="1"/>
      <c r="Q15" s="1"/>
    </row>
    <row r="16" spans="1:5" ht="12.75">
      <c r="A16" s="30" t="s">
        <v>235</v>
      </c>
      <c r="B16" s="109">
        <f>Misc!B19/100</f>
        <v>-0.036877963125548724</v>
      </c>
      <c r="C16" s="109">
        <f>Misc!C19/100</f>
        <v>0.036877963125548724</v>
      </c>
      <c r="D16" s="31"/>
      <c r="E16" s="1" t="s">
        <v>32</v>
      </c>
    </row>
    <row r="17" spans="1:6" ht="12.75">
      <c r="A17" t="s">
        <v>205</v>
      </c>
      <c r="B17" s="2">
        <f>-C17</f>
        <v>-2.027281872034303</v>
      </c>
      <c r="C17" s="2">
        <f>C5/(1+C16)*C16</f>
        <v>2.027281872034303</v>
      </c>
      <c r="D17" s="2"/>
      <c r="E17" s="1" t="s">
        <v>3</v>
      </c>
      <c r="F17" s="9"/>
    </row>
    <row r="18" spans="1:6" ht="12.75">
      <c r="A18" t="s">
        <v>33</v>
      </c>
      <c r="B18" s="5">
        <f>Misc!B14</f>
        <v>40.00958917825753</v>
      </c>
      <c r="C18" s="5">
        <f>Misc!C14</f>
        <v>50</v>
      </c>
      <c r="D18" s="2"/>
      <c r="E18" s="1" t="s">
        <v>34</v>
      </c>
      <c r="F18" s="9"/>
    </row>
    <row r="19" spans="1:5" ht="12.75">
      <c r="A19" t="s">
        <v>35</v>
      </c>
      <c r="B19" s="2">
        <f>B18/1000*B9*B12</f>
        <v>2.238522781254912E-05</v>
      </c>
      <c r="C19" s="2">
        <f>C18/1000*C11/B5</f>
        <v>0.7558282208588958</v>
      </c>
      <c r="D19" s="2"/>
      <c r="E19" s="1" t="s">
        <v>3</v>
      </c>
    </row>
    <row r="20" spans="1:5" ht="12.75">
      <c r="A20" t="s">
        <v>8</v>
      </c>
      <c r="B20" s="1">
        <f>Misc!B20</f>
        <v>-1.5</v>
      </c>
      <c r="C20" s="1">
        <f>Misc!C20</f>
        <v>1.5</v>
      </c>
      <c r="D20" s="1"/>
      <c r="E20" s="1" t="s">
        <v>9</v>
      </c>
    </row>
    <row r="21" spans="1:5" ht="12.75">
      <c r="A21" s="3" t="s">
        <v>200</v>
      </c>
      <c r="B21" s="6">
        <f>B17+B19</f>
        <v>-2.02725948680649</v>
      </c>
      <c r="C21" s="6">
        <f>C17+C19</f>
        <v>2.7831100928931987</v>
      </c>
      <c r="D21" s="6"/>
      <c r="E21" s="4" t="s">
        <v>3</v>
      </c>
    </row>
    <row r="22" spans="1:5" ht="12.75">
      <c r="A22" s="3" t="s">
        <v>201</v>
      </c>
      <c r="B22" s="6">
        <f>B20+B21</f>
        <v>-3.52725948680649</v>
      </c>
      <c r="C22" s="6">
        <f>C20+C21</f>
        <v>4.283110092893199</v>
      </c>
      <c r="D22" s="6"/>
      <c r="E22" s="4" t="s">
        <v>9</v>
      </c>
    </row>
    <row r="23" spans="1:5" ht="12.75">
      <c r="A23" s="3"/>
      <c r="B23" s="6"/>
      <c r="C23" s="6"/>
      <c r="D23" s="6"/>
      <c r="E23" s="4"/>
    </row>
    <row r="24" spans="1:5" ht="12.75">
      <c r="A24" s="7" t="s">
        <v>45</v>
      </c>
      <c r="B24" s="1"/>
      <c r="C24" s="1"/>
      <c r="D24" s="1"/>
      <c r="E24" s="1"/>
    </row>
    <row r="25" spans="1:5" ht="12.75">
      <c r="A25" t="s">
        <v>10</v>
      </c>
      <c r="B25" s="5">
        <f>C25/1.1/Misc!B50</f>
        <v>18.186176899207965</v>
      </c>
      <c r="C25" s="1">
        <v>25</v>
      </c>
      <c r="D25" s="1"/>
      <c r="E25" s="1" t="s">
        <v>34</v>
      </c>
    </row>
    <row r="26" spans="1:5" ht="12.75">
      <c r="A26" t="s">
        <v>13</v>
      </c>
      <c r="B26" s="5">
        <f>C26/Misc!B50</f>
        <v>4.000958917825752</v>
      </c>
      <c r="C26" s="1">
        <v>5</v>
      </c>
      <c r="D26" s="1"/>
      <c r="E26" s="1" t="s">
        <v>34</v>
      </c>
    </row>
    <row r="27" spans="1:5" ht="12.75">
      <c r="A27" s="3" t="s">
        <v>202</v>
      </c>
      <c r="B27" s="6">
        <f>(B25+B26)/1000*B12*B9</f>
        <v>1.2413626332413601E-05</v>
      </c>
      <c r="C27" s="6">
        <f>(C25+C26)/1000*C11/B5</f>
        <v>0.45349693251533746</v>
      </c>
      <c r="D27" s="6"/>
      <c r="E27" s="4" t="s">
        <v>3</v>
      </c>
    </row>
    <row r="28" spans="1:5" ht="12.75">
      <c r="A28" s="3" t="s">
        <v>132</v>
      </c>
      <c r="B28" s="6">
        <f>B21+B27</f>
        <v>-2.027247073180158</v>
      </c>
      <c r="C28" s="6">
        <f>C21+C27</f>
        <v>3.236607025408536</v>
      </c>
      <c r="D28" s="6"/>
      <c r="E28" s="4" t="s">
        <v>3</v>
      </c>
    </row>
    <row r="29" spans="1:5" ht="12.75">
      <c r="A29" s="33" t="s">
        <v>131</v>
      </c>
      <c r="B29" s="34">
        <f>B17+(B18+B25+B26)/1000*B12*B10</f>
        <v>-2.0272644726072304</v>
      </c>
      <c r="C29" s="34">
        <f>C17+(C18+C25+C26)/1000*C11/B6</f>
        <v>3.2029478760104464</v>
      </c>
      <c r="D29" s="34"/>
      <c r="E29" s="39" t="s">
        <v>3</v>
      </c>
    </row>
    <row r="30" spans="2:5" ht="12.75">
      <c r="B30" s="1"/>
      <c r="C30" s="1"/>
      <c r="D30" s="1"/>
      <c r="E30" s="1"/>
    </row>
    <row r="31" spans="1:14" ht="12.75">
      <c r="A31" s="7" t="s">
        <v>46</v>
      </c>
      <c r="B31" s="1"/>
      <c r="C31" s="1"/>
      <c r="D31" s="1"/>
      <c r="E31" s="1"/>
      <c r="N31" s="1"/>
    </row>
    <row r="32" spans="1:14" ht="12.75">
      <c r="A32" t="s">
        <v>37</v>
      </c>
      <c r="B32" s="31">
        <v>-0.01</v>
      </c>
      <c r="C32" s="31">
        <v>0.01</v>
      </c>
      <c r="D32" s="31"/>
      <c r="E32" s="1" t="s">
        <v>32</v>
      </c>
      <c r="G32" s="134" t="s">
        <v>39</v>
      </c>
      <c r="H32" s="134"/>
      <c r="I32" s="134"/>
      <c r="J32" s="134"/>
      <c r="K32" s="134"/>
      <c r="L32" s="134"/>
      <c r="M32" s="134"/>
      <c r="N32" s="1"/>
    </row>
    <row r="33" spans="1:14" ht="12.75">
      <c r="A33" t="s">
        <v>36</v>
      </c>
      <c r="B33" s="1">
        <f>D33*(1+B32)</f>
        <v>0.495</v>
      </c>
      <c r="C33" s="1">
        <f>D33*(1+C32)</f>
        <v>0.505</v>
      </c>
      <c r="D33" s="1">
        <v>0.5</v>
      </c>
      <c r="E33" s="1" t="s">
        <v>12</v>
      </c>
      <c r="G33" s="4" t="s">
        <v>1</v>
      </c>
      <c r="H33" s="4" t="s">
        <v>2</v>
      </c>
      <c r="I33" s="4" t="s">
        <v>38</v>
      </c>
      <c r="K33" s="4" t="s">
        <v>1</v>
      </c>
      <c r="L33" s="4" t="s">
        <v>2</v>
      </c>
      <c r="M33" s="4" t="s">
        <v>38</v>
      </c>
      <c r="N33" s="1"/>
    </row>
    <row r="34" spans="1:14" ht="12.75">
      <c r="A34" t="s">
        <v>16</v>
      </c>
      <c r="B34" s="1">
        <v>30</v>
      </c>
      <c r="C34" s="1">
        <v>1000</v>
      </c>
      <c r="D34" s="1"/>
      <c r="E34" s="1" t="s">
        <v>34</v>
      </c>
      <c r="G34" s="132" t="s">
        <v>40</v>
      </c>
      <c r="H34" s="132"/>
      <c r="I34" s="132"/>
      <c r="K34" s="132" t="s">
        <v>41</v>
      </c>
      <c r="L34" s="132"/>
      <c r="M34" s="132"/>
      <c r="N34" s="1"/>
    </row>
    <row r="35" spans="1:14" ht="12.75">
      <c r="A35" t="s">
        <v>242</v>
      </c>
      <c r="B35" s="2">
        <f>B33+B34/1000</f>
        <v>0.525</v>
      </c>
      <c r="C35" s="2">
        <f>C33+C34/1000</f>
        <v>1.505</v>
      </c>
      <c r="D35" s="1"/>
      <c r="E35" s="1" t="s">
        <v>4</v>
      </c>
      <c r="G35" s="2">
        <f>0.5+K35</f>
        <v>1.045</v>
      </c>
      <c r="H35" s="2">
        <f>C34/1000+L35</f>
        <v>1.705</v>
      </c>
      <c r="I35" s="2">
        <f>0.5+M35</f>
        <v>1.125</v>
      </c>
      <c r="J35" s="1"/>
      <c r="K35" s="1">
        <f>B33+0.05</f>
        <v>0.545</v>
      </c>
      <c r="L35" s="1">
        <f>C33+0.2</f>
        <v>0.7050000000000001</v>
      </c>
      <c r="M35" s="32">
        <f>(K35+L35)/2</f>
        <v>0.625</v>
      </c>
      <c r="N35" t="s">
        <v>240</v>
      </c>
    </row>
    <row r="36" spans="1:5" ht="12.75">
      <c r="A36" t="s">
        <v>14</v>
      </c>
      <c r="B36" s="1">
        <v>0.2</v>
      </c>
      <c r="C36" s="1">
        <v>0.7</v>
      </c>
      <c r="D36" s="1"/>
      <c r="E36" s="1" t="s">
        <v>3</v>
      </c>
    </row>
    <row r="37" spans="1:5" ht="12.75">
      <c r="A37" t="s">
        <v>241</v>
      </c>
      <c r="B37" s="1">
        <v>0</v>
      </c>
      <c r="C37" s="1">
        <f>2*0.5</f>
        <v>1</v>
      </c>
      <c r="D37" s="1"/>
      <c r="E37" s="1" t="s">
        <v>4</v>
      </c>
    </row>
    <row r="38" spans="1:5" ht="12.75">
      <c r="A38" t="s">
        <v>11</v>
      </c>
      <c r="B38" s="2">
        <f>cable!B30</f>
        <v>0.398018018018018</v>
      </c>
      <c r="C38" s="1">
        <f>cable!C30</f>
        <v>0.47</v>
      </c>
      <c r="D38" s="1"/>
      <c r="E38" s="1" t="s">
        <v>4</v>
      </c>
    </row>
    <row r="39" spans="1:5" ht="12.75">
      <c r="A39" s="3" t="s">
        <v>51</v>
      </c>
      <c r="B39" s="6">
        <f>B9*(B35+B37+B38)+B36</f>
        <v>0.20051642541282702</v>
      </c>
      <c r="C39" s="6">
        <f>C9*(C35+C37+C38)+C36</f>
        <v>3.069178247679769</v>
      </c>
      <c r="D39" s="6"/>
      <c r="E39" s="4" t="s">
        <v>3</v>
      </c>
    </row>
    <row r="40" spans="1:5" ht="12.75">
      <c r="A40" s="122" t="s">
        <v>145</v>
      </c>
      <c r="B40" s="123">
        <f>B9*(G35+B37+B38)+B36</f>
        <v>0.20080736362793</v>
      </c>
      <c r="C40" s="123">
        <f>C9*(H35+C37+C38)+C36</f>
        <v>3.228450734918745</v>
      </c>
      <c r="D40" s="123"/>
      <c r="E40" s="124" t="s">
        <v>3</v>
      </c>
    </row>
    <row r="41" spans="1:5" ht="12.75">
      <c r="A41" s="46" t="s">
        <v>264</v>
      </c>
      <c r="B41" s="111">
        <f>cable!B41</f>
        <v>-0.035604411643966896</v>
      </c>
      <c r="C41" s="111">
        <f>cable!C41</f>
        <v>0.035604411643966896</v>
      </c>
      <c r="D41" s="47"/>
      <c r="E41" s="92" t="s">
        <v>32</v>
      </c>
    </row>
    <row r="42" spans="1:5" ht="12.75">
      <c r="A42" s="33" t="s">
        <v>52</v>
      </c>
      <c r="B42" s="34">
        <f>B10*(1+B41)*(B35+B37+B38)+B36</f>
        <v>0.20024901919492266</v>
      </c>
      <c r="C42" s="34">
        <f>C10*(1+C41)*(C35+C37+C38)+C36</f>
        <v>1.7119340483046095</v>
      </c>
      <c r="D42" s="34"/>
      <c r="E42" s="39" t="s">
        <v>3</v>
      </c>
    </row>
    <row r="43" spans="2:5" ht="12.75">
      <c r="B43" s="1"/>
      <c r="C43" s="1"/>
      <c r="D43" s="1"/>
      <c r="E43" s="1"/>
    </row>
    <row r="44" spans="1:7" ht="12.75">
      <c r="A44" s="7" t="s">
        <v>15</v>
      </c>
      <c r="B44" s="2"/>
      <c r="C44" s="2"/>
      <c r="D44" s="2"/>
      <c r="E44" s="1"/>
      <c r="G44" s="11" t="s">
        <v>260</v>
      </c>
    </row>
    <row r="45" spans="1:7" ht="12.75">
      <c r="A45" s="3" t="s">
        <v>47</v>
      </c>
      <c r="B45" s="6">
        <f>B21+B27+B39</f>
        <v>-1.8267306477673309</v>
      </c>
      <c r="C45" s="6">
        <f>C21+C27+C39</f>
        <v>6.305785273088305</v>
      </c>
      <c r="D45" s="6"/>
      <c r="E45" s="4" t="s">
        <v>3</v>
      </c>
      <c r="G45" t="s">
        <v>261</v>
      </c>
    </row>
    <row r="46" spans="1:5" ht="12.75">
      <c r="A46" s="3" t="s">
        <v>48</v>
      </c>
      <c r="B46" s="6">
        <f>B45+B20</f>
        <v>-3.326730647767331</v>
      </c>
      <c r="C46" s="6">
        <f>C45+C20</f>
        <v>7.805785273088305</v>
      </c>
      <c r="D46" s="6"/>
      <c r="E46" s="4" t="s">
        <v>9</v>
      </c>
    </row>
    <row r="47" spans="2:7" ht="12.75">
      <c r="B47" s="1"/>
      <c r="C47" s="1"/>
      <c r="D47" s="1"/>
      <c r="E47" s="1"/>
      <c r="G47" s="4" t="s">
        <v>110</v>
      </c>
    </row>
    <row r="48" spans="1:8" ht="15.75">
      <c r="A48" s="40" t="s">
        <v>49</v>
      </c>
      <c r="B48" s="41">
        <f>$C$5-(C45-B45)</f>
        <v>48.86748407914436</v>
      </c>
      <c r="C48" s="37"/>
      <c r="D48" s="37"/>
      <c r="E48" s="37" t="s">
        <v>3</v>
      </c>
      <c r="F48" s="10"/>
      <c r="G48" s="80">
        <f>$C$7/B48*1000</f>
        <v>796.892327562027</v>
      </c>
      <c r="H48" t="s">
        <v>96</v>
      </c>
    </row>
    <row r="49" spans="1:8" ht="12.75">
      <c r="A49" s="3" t="s">
        <v>50</v>
      </c>
      <c r="B49" s="8">
        <f>$C$5-(C46-B46)</f>
        <v>45.86748407914436</v>
      </c>
      <c r="C49" s="4"/>
      <c r="D49" s="4"/>
      <c r="E49" s="4" t="s">
        <v>9</v>
      </c>
      <c r="F49" s="10"/>
      <c r="G49" s="80">
        <f>$C$7/B49*1000</f>
        <v>849.0137166175281</v>
      </c>
      <c r="H49" t="s">
        <v>96</v>
      </c>
    </row>
    <row r="50" ht="12.75">
      <c r="E50" s="1"/>
    </row>
    <row r="51" spans="1:7" ht="12.75">
      <c r="A51" s="33" t="s">
        <v>53</v>
      </c>
      <c r="B51" s="34">
        <f>B29+B42</f>
        <v>-1.8270154534123078</v>
      </c>
      <c r="C51" s="34">
        <f>C29+C42</f>
        <v>4.914881924315056</v>
      </c>
      <c r="D51" s="34"/>
      <c r="E51" s="39" t="s">
        <v>3</v>
      </c>
      <c r="G51" s="50"/>
    </row>
    <row r="52" spans="1:7" ht="12.75">
      <c r="A52" s="33" t="s">
        <v>54</v>
      </c>
      <c r="B52" s="34">
        <f>B51+B20</f>
        <v>-3.327015453412308</v>
      </c>
      <c r="C52" s="34">
        <f>C51+C20</f>
        <v>6.414881924315056</v>
      </c>
      <c r="D52" s="34"/>
      <c r="E52" s="39" t="s">
        <v>9</v>
      </c>
      <c r="G52" s="50"/>
    </row>
    <row r="53" spans="2:7" ht="12.75">
      <c r="B53" s="1"/>
      <c r="C53" s="1"/>
      <c r="D53" s="1"/>
      <c r="E53" s="1"/>
      <c r="G53" s="4" t="s">
        <v>110</v>
      </c>
    </row>
    <row r="54" spans="1:8" ht="15.75">
      <c r="A54" s="42" t="s">
        <v>55</v>
      </c>
      <c r="B54" s="43">
        <f>$C$5-(C51-B51)</f>
        <v>50.25810262227264</v>
      </c>
      <c r="C54" s="44"/>
      <c r="D54" s="44"/>
      <c r="E54" s="44" t="s">
        <v>3</v>
      </c>
      <c r="G54" s="80">
        <f>$C$8/B54*1000*(1+$C$41)</f>
        <v>680.8589185173064</v>
      </c>
      <c r="H54" t="s">
        <v>96</v>
      </c>
    </row>
    <row r="55" spans="1:8" ht="12.75">
      <c r="A55" s="33" t="s">
        <v>56</v>
      </c>
      <c r="B55" s="38">
        <f>$C$5-(C52-B52)</f>
        <v>47.25810262227264</v>
      </c>
      <c r="C55" s="39"/>
      <c r="D55" s="39"/>
      <c r="E55" s="39" t="s">
        <v>9</v>
      </c>
      <c r="G55" s="80">
        <f>$C$8/B55*1000*(1+$C$41)</f>
        <v>724.0806443635163</v>
      </c>
      <c r="H55" t="s">
        <v>96</v>
      </c>
    </row>
    <row r="56" spans="1:5" ht="12.75">
      <c r="A56" s="77"/>
      <c r="B56" s="78"/>
      <c r="C56" s="28"/>
      <c r="D56" s="28"/>
      <c r="E56" s="79"/>
    </row>
    <row r="57" spans="1:9" ht="12.75">
      <c r="A57" t="s">
        <v>58</v>
      </c>
      <c r="B57" s="78"/>
      <c r="C57" s="28"/>
      <c r="D57" s="28"/>
      <c r="E57" s="79"/>
      <c r="G57" s="84" t="s">
        <v>116</v>
      </c>
      <c r="H57" s="84">
        <v>30</v>
      </c>
      <c r="I57" s="84" t="s">
        <v>5</v>
      </c>
    </row>
    <row r="58" spans="1:9" ht="12.75">
      <c r="A58" t="s">
        <v>59</v>
      </c>
      <c r="G58" s="84" t="s">
        <v>57</v>
      </c>
      <c r="H58" s="85">
        <f>Sys!B15</f>
        <v>48.9</v>
      </c>
      <c r="I58" s="84" t="s">
        <v>9</v>
      </c>
    </row>
    <row r="59" spans="1:9" ht="12.75">
      <c r="A59" t="s">
        <v>243</v>
      </c>
      <c r="B59" s="1"/>
      <c r="C59" s="1"/>
      <c r="D59" s="1"/>
      <c r="E59" s="1"/>
      <c r="G59" s="84" t="s">
        <v>117</v>
      </c>
      <c r="H59" s="85">
        <f>B48</f>
        <v>48.86748407914436</v>
      </c>
      <c r="I59" s="84" t="s">
        <v>9</v>
      </c>
    </row>
    <row r="60" ht="12.75">
      <c r="A60" t="s">
        <v>265</v>
      </c>
    </row>
    <row r="61" ht="12.75">
      <c r="A61" t="s">
        <v>244</v>
      </c>
    </row>
    <row r="62" ht="12.75">
      <c r="A62" t="s">
        <v>266</v>
      </c>
    </row>
    <row r="63" ht="12.75">
      <c r="A63" t="s">
        <v>275</v>
      </c>
    </row>
  </sheetData>
  <mergeCells count="4">
    <mergeCell ref="G34:I34"/>
    <mergeCell ref="K34:M34"/>
    <mergeCell ref="B1:M1"/>
    <mergeCell ref="G32:M32"/>
  </mergeCells>
  <printOptions/>
  <pageMargins left="0.75" right="0.75" top="1" bottom="1" header="0.5" footer="0.5"/>
  <pageSetup fitToHeight="1" fitToWidth="1" horizontalDpi="600" verticalDpi="600" orientation="portrait" scale="61" r:id="rId5"/>
  <legacyDrawing r:id="rId4"/>
  <oleObjects>
    <oleObject progId="Visio.Drawing.11" shapeId="3622023" r:id="rId2"/>
    <oleObject progId="Visio.Drawing.11" shapeId="144321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9"/>
  <sheetViews>
    <sheetView workbookViewId="0" topLeftCell="A1">
      <selection activeCell="K18" sqref="K18"/>
    </sheetView>
  </sheetViews>
  <sheetFormatPr defaultColWidth="9.140625" defaultRowHeight="12.75"/>
  <cols>
    <col min="1" max="1" width="23.8515625" style="0" bestFit="1" customWidth="1"/>
  </cols>
  <sheetData>
    <row r="6" ht="12.75">
      <c r="A6" s="12"/>
    </row>
    <row r="7" spans="1:7" ht="12.75">
      <c r="A7" s="13" t="s">
        <v>17</v>
      </c>
      <c r="B7" s="11">
        <f>Sys!B8</f>
        <v>30</v>
      </c>
      <c r="C7" t="s">
        <v>18</v>
      </c>
      <c r="D7" s="135" t="s">
        <v>60</v>
      </c>
      <c r="E7" s="135"/>
      <c r="F7" s="135" t="s">
        <v>61</v>
      </c>
      <c r="G7" s="135"/>
    </row>
    <row r="8" spans="2:7" ht="12.75">
      <c r="B8" s="137" t="s">
        <v>141</v>
      </c>
      <c r="C8" s="137"/>
      <c r="D8" s="138" t="s">
        <v>30</v>
      </c>
      <c r="E8" s="138"/>
      <c r="F8" s="138" t="s">
        <v>30</v>
      </c>
      <c r="G8" s="138"/>
    </row>
    <row r="9" spans="1:7" ht="12.75">
      <c r="A9" s="13" t="s">
        <v>20</v>
      </c>
      <c r="B9" s="15">
        <v>44</v>
      </c>
      <c r="C9" s="16" t="s">
        <v>21</v>
      </c>
      <c r="D9" s="82">
        <f>Sys!B15</f>
        <v>48.9</v>
      </c>
      <c r="E9" s="17" t="s">
        <v>21</v>
      </c>
      <c r="F9" s="82">
        <f>Sys!B27</f>
        <v>50.3</v>
      </c>
      <c r="G9" s="17" t="s">
        <v>21</v>
      </c>
    </row>
    <row r="10" spans="1:7" ht="12.75">
      <c r="A10" s="13" t="s">
        <v>245</v>
      </c>
      <c r="B10" s="15">
        <v>20</v>
      </c>
      <c r="C10" s="16" t="s">
        <v>22</v>
      </c>
      <c r="D10" s="24">
        <f>(cable!C32-cable!C30)*2</f>
        <v>14.1</v>
      </c>
      <c r="E10" s="17" t="s">
        <v>23</v>
      </c>
      <c r="F10" s="17">
        <f>D10/2</f>
        <v>7.05</v>
      </c>
      <c r="G10" s="17" t="s">
        <v>23</v>
      </c>
    </row>
    <row r="11" spans="1:7" ht="12.75">
      <c r="A11" s="13"/>
      <c r="B11" s="15"/>
      <c r="C11" s="16"/>
      <c r="D11" s="17"/>
      <c r="E11" s="17"/>
      <c r="F11" s="17"/>
      <c r="G11" s="17"/>
    </row>
    <row r="12" spans="1:7" ht="12.75">
      <c r="A12" s="18" t="s">
        <v>24</v>
      </c>
      <c r="B12" s="19">
        <f>((((B9*B9)-SQRT((B9^4)-(4*B10*(B9^2)*IF(B7&gt;A20,A18,IF(B7&gt;A19,A20,A19)))))))/(2*B10)</f>
        <v>15.4</v>
      </c>
      <c r="C12" s="20" t="s">
        <v>18</v>
      </c>
      <c r="D12" s="21">
        <f>((((D9*D9)-SQRT((D9^4)-(4*D10*(D9^2)*$B$7)))))/(2*D10)</f>
        <v>38.942123129929655</v>
      </c>
      <c r="E12" s="22" t="s">
        <v>5</v>
      </c>
      <c r="F12" s="21">
        <f>((((F9*F9)-SQRT((F9^4)-(4*F10*(F9^2)*$B$7)))))/(2*F10)</f>
        <v>33.0422283001016</v>
      </c>
      <c r="G12" s="22" t="s">
        <v>5</v>
      </c>
    </row>
    <row r="13" spans="1:7" ht="12.75">
      <c r="A13" s="13" t="s">
        <v>25</v>
      </c>
      <c r="B13" s="23">
        <f>B12/B9</f>
        <v>0.35000000000000003</v>
      </c>
      <c r="C13" s="16" t="s">
        <v>6</v>
      </c>
      <c r="D13" s="48">
        <f>D12/D9</f>
        <v>0.7963624361948805</v>
      </c>
      <c r="E13" s="17" t="s">
        <v>6</v>
      </c>
      <c r="F13" s="48">
        <f>F12/F9</f>
        <v>0.6569031471193161</v>
      </c>
      <c r="G13" s="17" t="s">
        <v>6</v>
      </c>
    </row>
    <row r="14" spans="1:7" ht="12.75">
      <c r="A14" s="13" t="s">
        <v>26</v>
      </c>
      <c r="B14" s="15">
        <f>B7/B13</f>
        <v>85.71428571428571</v>
      </c>
      <c r="C14" s="16" t="s">
        <v>9</v>
      </c>
      <c r="D14" s="24">
        <f>$B$7/D13</f>
        <v>37.67128964965219</v>
      </c>
      <c r="E14" s="17" t="s">
        <v>9</v>
      </c>
      <c r="F14" s="24">
        <f>$B$7/F13</f>
        <v>45.668832812808816</v>
      </c>
      <c r="G14" s="17" t="s">
        <v>9</v>
      </c>
    </row>
    <row r="15" spans="1:7" ht="12.75">
      <c r="A15" s="13" t="s">
        <v>285</v>
      </c>
      <c r="B15" s="121">
        <f>B13/2</f>
        <v>0.17500000000000002</v>
      </c>
      <c r="C15" s="16" t="s">
        <v>6</v>
      </c>
      <c r="D15" s="48">
        <f>D13/2</f>
        <v>0.3981812180974402</v>
      </c>
      <c r="E15" s="17" t="s">
        <v>6</v>
      </c>
      <c r="F15" s="48">
        <f>F13/4</f>
        <v>0.16422578677982902</v>
      </c>
      <c r="G15" s="17" t="s">
        <v>6</v>
      </c>
    </row>
    <row r="16" spans="1:7" ht="12.75">
      <c r="A16" s="136" t="s">
        <v>19</v>
      </c>
      <c r="B16" s="136"/>
      <c r="C16" s="136"/>
      <c r="D16" s="136"/>
      <c r="E16" s="136"/>
      <c r="F16" s="136"/>
      <c r="G16" s="136"/>
    </row>
    <row r="17" spans="1:7" ht="12.75">
      <c r="A17" s="4" t="s">
        <v>142</v>
      </c>
      <c r="B17" s="4" t="s">
        <v>143</v>
      </c>
      <c r="C17" s="4" t="s">
        <v>27</v>
      </c>
      <c r="D17" s="4" t="s">
        <v>28</v>
      </c>
      <c r="F17" s="14"/>
      <c r="G17" s="14"/>
    </row>
    <row r="18" spans="1:7" ht="12.75">
      <c r="A18" s="1">
        <v>12.95</v>
      </c>
      <c r="B18" s="1">
        <v>15.4</v>
      </c>
      <c r="C18" s="1">
        <v>0</v>
      </c>
      <c r="D18" t="s">
        <v>144</v>
      </c>
      <c r="F18" s="14"/>
      <c r="G18" s="14"/>
    </row>
    <row r="19" spans="1:7" ht="12.75">
      <c r="A19" s="1">
        <v>3.84</v>
      </c>
      <c r="B19" s="1">
        <v>4</v>
      </c>
      <c r="C19" s="1">
        <f>1+C18</f>
        <v>1</v>
      </c>
      <c r="D19" t="s">
        <v>236</v>
      </c>
      <c r="F19" s="14"/>
      <c r="G19" s="14"/>
    </row>
    <row r="20" spans="1:7" ht="12.75">
      <c r="A20" s="1">
        <v>6.49</v>
      </c>
      <c r="B20" s="1">
        <v>7</v>
      </c>
      <c r="C20" s="1">
        <f>1+C19</f>
        <v>2</v>
      </c>
      <c r="D20" s="14"/>
      <c r="F20" s="14"/>
      <c r="G20" s="14"/>
    </row>
    <row r="21" spans="1:7" ht="12.75">
      <c r="A21" s="1">
        <v>12.95</v>
      </c>
      <c r="B21" s="1">
        <v>15.4</v>
      </c>
      <c r="C21" s="1">
        <f>1+C20</f>
        <v>3</v>
      </c>
      <c r="D21" s="25"/>
      <c r="F21" s="14"/>
      <c r="G21" s="14"/>
    </row>
    <row r="22" spans="1:7" ht="12.75">
      <c r="A22" s="26" t="s">
        <v>29</v>
      </c>
      <c r="B22" s="26">
        <v>15.4</v>
      </c>
      <c r="C22" s="26">
        <f>1+C21</f>
        <v>4</v>
      </c>
      <c r="D22" s="27"/>
      <c r="E22" s="27"/>
      <c r="F22" s="27"/>
      <c r="G22" s="27"/>
    </row>
    <row r="25" ht="12.75">
      <c r="A25" t="s">
        <v>28</v>
      </c>
    </row>
    <row r="26" ht="12.75">
      <c r="A26" t="s">
        <v>237</v>
      </c>
    </row>
    <row r="27" ht="12.75">
      <c r="A27" t="s">
        <v>238</v>
      </c>
    </row>
    <row r="28" ht="12.75">
      <c r="A28" t="s">
        <v>239</v>
      </c>
    </row>
    <row r="29" ht="12.75">
      <c r="A29" t="s">
        <v>276</v>
      </c>
    </row>
  </sheetData>
  <mergeCells count="6">
    <mergeCell ref="D7:E7"/>
    <mergeCell ref="A16:G16"/>
    <mergeCell ref="F7:G7"/>
    <mergeCell ref="B8:C8"/>
    <mergeCell ref="D8:E8"/>
    <mergeCell ref="F8:G8"/>
  </mergeCells>
  <printOptions/>
  <pageMargins left="0.75" right="0.75" top="1" bottom="1" header="0.5" footer="0.5"/>
  <pageSetup fitToHeight="1" fitToWidth="1" horizontalDpi="600" verticalDpi="600" orientation="portrait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1"/>
  <sheetViews>
    <sheetView workbookViewId="0" topLeftCell="A1">
      <selection activeCell="B42" sqref="B42"/>
    </sheetView>
  </sheetViews>
  <sheetFormatPr defaultColWidth="9.140625" defaultRowHeight="12.75"/>
  <cols>
    <col min="1" max="1" width="27.421875" style="0" bestFit="1" customWidth="1"/>
    <col min="4" max="4" width="15.57421875" style="0" bestFit="1" customWidth="1"/>
    <col min="5" max="5" width="19.8515625" style="0" customWidth="1"/>
  </cols>
  <sheetData>
    <row r="3" ht="12.75">
      <c r="B3" s="14"/>
    </row>
    <row r="4" spans="1:13" ht="12.75">
      <c r="A4" s="52" t="s">
        <v>62</v>
      </c>
      <c r="B4" s="52" t="s">
        <v>1</v>
      </c>
      <c r="C4" s="54" t="s">
        <v>2</v>
      </c>
      <c r="D4" s="54" t="s">
        <v>0</v>
      </c>
      <c r="E4" s="54" t="s">
        <v>71</v>
      </c>
      <c r="F4" s="51" t="s">
        <v>68</v>
      </c>
      <c r="G4" s="27"/>
      <c r="H4" s="27"/>
      <c r="I4" s="27"/>
      <c r="J4" s="27"/>
      <c r="K4" s="27"/>
      <c r="L4" s="27"/>
      <c r="M4" s="27"/>
    </row>
    <row r="5" spans="1:6" ht="12.75">
      <c r="A5" s="53" t="s">
        <v>63</v>
      </c>
      <c r="B5" s="61"/>
      <c r="C5" s="61">
        <v>0.05</v>
      </c>
      <c r="D5" s="64" t="s">
        <v>4</v>
      </c>
      <c r="E5" s="64" t="s">
        <v>73</v>
      </c>
      <c r="F5" t="s">
        <v>94</v>
      </c>
    </row>
    <row r="6" spans="1:6" ht="12.75">
      <c r="A6" s="53" t="s">
        <v>69</v>
      </c>
      <c r="B6" s="55"/>
      <c r="C6" s="55">
        <v>0.2</v>
      </c>
      <c r="D6" s="14" t="s">
        <v>4</v>
      </c>
      <c r="E6" s="14" t="s">
        <v>73</v>
      </c>
      <c r="F6" t="s">
        <v>70</v>
      </c>
    </row>
    <row r="7" spans="1:6" ht="12.75">
      <c r="A7" s="53" t="s">
        <v>74</v>
      </c>
      <c r="B7" s="55"/>
      <c r="C7" s="55">
        <v>0.05</v>
      </c>
      <c r="D7" s="14" t="s">
        <v>4</v>
      </c>
      <c r="E7" s="14" t="s">
        <v>73</v>
      </c>
      <c r="F7" t="s">
        <v>75</v>
      </c>
    </row>
    <row r="8" spans="1:6" ht="12.75">
      <c r="A8" s="53" t="s">
        <v>64</v>
      </c>
      <c r="B8" s="55">
        <v>0</v>
      </c>
      <c r="C8" s="55">
        <f>Sys!B10</f>
        <v>0.125</v>
      </c>
      <c r="D8" s="14" t="s">
        <v>67</v>
      </c>
      <c r="E8" s="14" t="s">
        <v>76</v>
      </c>
      <c r="F8" t="s">
        <v>119</v>
      </c>
    </row>
    <row r="9" spans="1:15" ht="12.75">
      <c r="A9" s="97" t="s">
        <v>64</v>
      </c>
      <c r="B9" s="98">
        <v>0</v>
      </c>
      <c r="C9" s="98">
        <f>19/100</f>
        <v>0.19</v>
      </c>
      <c r="D9" s="99" t="s">
        <v>67</v>
      </c>
      <c r="E9" s="99" t="s">
        <v>76</v>
      </c>
      <c r="F9" s="84" t="s">
        <v>85</v>
      </c>
      <c r="G9" s="84"/>
      <c r="H9" s="84"/>
      <c r="I9" s="84"/>
      <c r="J9" s="84"/>
      <c r="K9" s="84"/>
      <c r="L9" s="84"/>
      <c r="M9" s="84"/>
      <c r="N9" s="84"/>
      <c r="O9" s="84"/>
    </row>
    <row r="10" spans="1:6" ht="12.75">
      <c r="A10" s="53" t="s">
        <v>65</v>
      </c>
      <c r="B10" s="55">
        <v>0</v>
      </c>
      <c r="C10" s="55">
        <v>100</v>
      </c>
      <c r="D10" s="14" t="s">
        <v>66</v>
      </c>
      <c r="E10" s="14" t="s">
        <v>77</v>
      </c>
      <c r="F10" t="s">
        <v>78</v>
      </c>
    </row>
    <row r="11" spans="1:6" ht="12.75">
      <c r="A11" s="53" t="s">
        <v>79</v>
      </c>
      <c r="B11" s="55"/>
      <c r="C11" s="57">
        <v>0.05</v>
      </c>
      <c r="D11" s="14" t="s">
        <v>32</v>
      </c>
      <c r="E11" s="14" t="s">
        <v>80</v>
      </c>
      <c r="F11" t="s">
        <v>81</v>
      </c>
    </row>
    <row r="12" spans="1:6" ht="12.75">
      <c r="A12" s="53" t="s">
        <v>79</v>
      </c>
      <c r="B12" s="55"/>
      <c r="C12" s="57">
        <v>0.03</v>
      </c>
      <c r="D12" s="14" t="s">
        <v>32</v>
      </c>
      <c r="E12" s="58" t="s">
        <v>84</v>
      </c>
      <c r="F12" t="s">
        <v>82</v>
      </c>
    </row>
    <row r="13" spans="1:6" ht="12.75">
      <c r="A13" s="53" t="s">
        <v>79</v>
      </c>
      <c r="B13" s="55"/>
      <c r="C13" s="57">
        <v>0.02</v>
      </c>
      <c r="D13" s="14" t="s">
        <v>32</v>
      </c>
      <c r="E13" s="58" t="s">
        <v>72</v>
      </c>
      <c r="F13" t="s">
        <v>83</v>
      </c>
    </row>
    <row r="14" spans="1:5" ht="12.75">
      <c r="A14" s="14"/>
      <c r="B14" s="55"/>
      <c r="C14" s="57"/>
      <c r="D14" s="14"/>
      <c r="E14" s="58"/>
    </row>
    <row r="15" spans="1:5" ht="12.75">
      <c r="A15" s="49" t="s">
        <v>98</v>
      </c>
      <c r="B15" s="56"/>
      <c r="C15" s="56"/>
      <c r="D15" s="56"/>
      <c r="E15" s="56"/>
    </row>
    <row r="16" spans="1:9" ht="12.75">
      <c r="A16" s="52" t="s">
        <v>62</v>
      </c>
      <c r="B16" s="52" t="s">
        <v>1</v>
      </c>
      <c r="C16" s="54" t="s">
        <v>2</v>
      </c>
      <c r="D16" s="54" t="s">
        <v>0</v>
      </c>
      <c r="E16" s="67" t="s">
        <v>68</v>
      </c>
      <c r="F16" s="27"/>
      <c r="G16" s="27"/>
      <c r="I16" t="s">
        <v>28</v>
      </c>
    </row>
    <row r="17" spans="1:9" ht="12.75">
      <c r="A17" s="53" t="s">
        <v>86</v>
      </c>
      <c r="B17" s="55"/>
      <c r="C17" s="63">
        <f>Sys!B9</f>
        <v>100</v>
      </c>
      <c r="D17" s="14" t="s">
        <v>66</v>
      </c>
      <c r="I17" t="s">
        <v>248</v>
      </c>
    </row>
    <row r="18" spans="1:9" ht="12.75">
      <c r="A18" s="53" t="s">
        <v>111</v>
      </c>
      <c r="B18" s="55"/>
      <c r="C18" s="81">
        <f>Sys!B18</f>
        <v>796.3624361948805</v>
      </c>
      <c r="D18" s="25" t="s">
        <v>96</v>
      </c>
      <c r="I18" t="s">
        <v>249</v>
      </c>
    </row>
    <row r="19" spans="1:9" ht="12.75">
      <c r="A19" s="53" t="s">
        <v>112</v>
      </c>
      <c r="B19" s="55"/>
      <c r="C19" s="81">
        <f>Sys!B30</f>
        <v>672</v>
      </c>
      <c r="D19" s="25" t="s">
        <v>96</v>
      </c>
      <c r="I19" t="s">
        <v>246</v>
      </c>
    </row>
    <row r="20" spans="1:9" ht="12.75">
      <c r="A20" s="53" t="s">
        <v>87</v>
      </c>
      <c r="B20" s="62">
        <f>C20*(1-C13)/(1+C13)</f>
        <v>6.004901960784314</v>
      </c>
      <c r="C20" s="62">
        <f>C17*C8/2</f>
        <v>6.25</v>
      </c>
      <c r="D20" s="14" t="s">
        <v>4</v>
      </c>
      <c r="E20" s="14" t="s">
        <v>93</v>
      </c>
      <c r="I20" t="s">
        <v>204</v>
      </c>
    </row>
    <row r="21" spans="1:9" ht="12.75">
      <c r="A21" s="53" t="s">
        <v>88</v>
      </c>
      <c r="B21" s="55"/>
      <c r="C21" s="55">
        <v>2</v>
      </c>
      <c r="D21" s="14" t="s">
        <v>89</v>
      </c>
      <c r="E21" s="14"/>
      <c r="I21" t="s">
        <v>281</v>
      </c>
    </row>
    <row r="22" spans="1:9" ht="12.75">
      <c r="A22" s="53" t="s">
        <v>90</v>
      </c>
      <c r="B22" s="55"/>
      <c r="C22" s="55">
        <f>2*C21*C6</f>
        <v>0.8</v>
      </c>
      <c r="D22" s="14" t="s">
        <v>4</v>
      </c>
      <c r="E22" s="14"/>
      <c r="I22" t="s">
        <v>282</v>
      </c>
    </row>
    <row r="23" spans="1:9" ht="12.75">
      <c r="A23" s="53" t="s">
        <v>91</v>
      </c>
      <c r="B23" s="55"/>
      <c r="C23" s="55">
        <f>2*C21*C7</f>
        <v>0.2</v>
      </c>
      <c r="D23" s="14" t="s">
        <v>4</v>
      </c>
      <c r="E23" s="14"/>
      <c r="I23" t="s">
        <v>283</v>
      </c>
    </row>
    <row r="24" spans="1:9" ht="12.75">
      <c r="A24" s="53" t="s">
        <v>92</v>
      </c>
      <c r="B24" s="62">
        <f>B20+C22-C23</f>
        <v>6.604901960784313</v>
      </c>
      <c r="C24" s="62">
        <f>C20+C22</f>
        <v>7.05</v>
      </c>
      <c r="D24" s="14" t="s">
        <v>4</v>
      </c>
      <c r="E24" s="14"/>
      <c r="I24" t="s">
        <v>284</v>
      </c>
    </row>
    <row r="25" spans="1:9" ht="12.75">
      <c r="A25" s="45" t="s">
        <v>95</v>
      </c>
      <c r="B25" s="70"/>
      <c r="C25" s="68">
        <f>(C24-B24)/(B24+C24)</f>
        <v>0.03259620907524413</v>
      </c>
      <c r="D25" s="65" t="s">
        <v>32</v>
      </c>
      <c r="E25" s="139" t="s">
        <v>99</v>
      </c>
      <c r="F25" s="139"/>
      <c r="G25" s="139"/>
      <c r="I25" t="s">
        <v>250</v>
      </c>
    </row>
    <row r="26" spans="1:9" ht="12.75">
      <c r="A26" s="45" t="s">
        <v>97</v>
      </c>
      <c r="B26" s="70"/>
      <c r="C26" s="69">
        <f>C25*$C$18</f>
        <v>25.95839646987909</v>
      </c>
      <c r="D26" s="65" t="s">
        <v>96</v>
      </c>
      <c r="E26" s="139"/>
      <c r="F26" s="139"/>
      <c r="G26" s="139"/>
      <c r="I26" s="119" t="s">
        <v>251</v>
      </c>
    </row>
    <row r="27" spans="1:7" ht="12.75">
      <c r="A27" s="71" t="s">
        <v>103</v>
      </c>
      <c r="B27" s="72">
        <f>B24/2</f>
        <v>3.3024509803921567</v>
      </c>
      <c r="C27" s="72">
        <f>C24/2</f>
        <v>3.525</v>
      </c>
      <c r="D27" s="73" t="s">
        <v>4</v>
      </c>
      <c r="E27" s="59"/>
      <c r="F27" s="59"/>
      <c r="G27" s="59"/>
    </row>
    <row r="28" spans="1:7" ht="12.75">
      <c r="A28" s="71" t="s">
        <v>104</v>
      </c>
      <c r="B28" s="94"/>
      <c r="C28" s="68">
        <f>(C27-B27)/(B27+C27)</f>
        <v>0.03259620907524413</v>
      </c>
      <c r="D28" s="65" t="s">
        <v>32</v>
      </c>
      <c r="E28" s="59"/>
      <c r="F28" s="59"/>
      <c r="G28" s="59"/>
    </row>
    <row r="29" spans="1:7" ht="12.75">
      <c r="A29" s="71" t="s">
        <v>105</v>
      </c>
      <c r="B29" s="94"/>
      <c r="C29" s="69">
        <f>C28*$C$18</f>
        <v>25.95839646987909</v>
      </c>
      <c r="D29" s="65" t="s">
        <v>96</v>
      </c>
      <c r="E29" s="59"/>
      <c r="F29" s="59"/>
      <c r="G29" s="59"/>
    </row>
    <row r="30" spans="1:6" ht="12.75">
      <c r="A30" s="60" t="s">
        <v>100</v>
      </c>
      <c r="B30" s="62">
        <f>C30*(1-C31)/(1+C31)</f>
        <v>0.398018018018018</v>
      </c>
      <c r="C30" s="55">
        <f>Misc!B37/1000</f>
        <v>0.47</v>
      </c>
      <c r="D30" s="25" t="s">
        <v>4</v>
      </c>
      <c r="F30" s="14"/>
    </row>
    <row r="31" spans="1:6" ht="12.75">
      <c r="A31" s="60" t="s">
        <v>101</v>
      </c>
      <c r="B31" s="55"/>
      <c r="C31" s="57">
        <f>Misc!G37</f>
        <v>0.08292682926829269</v>
      </c>
      <c r="D31" s="25"/>
      <c r="E31" t="s">
        <v>159</v>
      </c>
      <c r="F31" s="14"/>
    </row>
    <row r="32" spans="1:4" ht="12.75">
      <c r="A32" s="60" t="s">
        <v>247</v>
      </c>
      <c r="B32" s="62">
        <f>B24+C30*(1-C31)/(1+C31)</f>
        <v>7.002919978802331</v>
      </c>
      <c r="C32" s="62">
        <f>C24+C30</f>
        <v>7.52</v>
      </c>
      <c r="D32" s="25" t="s">
        <v>4</v>
      </c>
    </row>
    <row r="33" spans="1:7" ht="12.75">
      <c r="A33" s="66" t="s">
        <v>95</v>
      </c>
      <c r="B33" s="70"/>
      <c r="C33" s="68">
        <f>(C32-B32)/(B32+C32)</f>
        <v>0.03560441164396685</v>
      </c>
      <c r="D33" s="29" t="s">
        <v>32</v>
      </c>
      <c r="E33" s="139" t="s">
        <v>102</v>
      </c>
      <c r="F33" s="139"/>
      <c r="G33" s="139"/>
    </row>
    <row r="34" spans="1:7" ht="12.75">
      <c r="A34" s="45" t="s">
        <v>97</v>
      </c>
      <c r="B34" s="70"/>
      <c r="C34" s="69">
        <f>C33*C18</f>
        <v>28.35401599607481</v>
      </c>
      <c r="D34" s="65" t="s">
        <v>96</v>
      </c>
      <c r="E34" s="139"/>
      <c r="F34" s="139"/>
      <c r="G34" s="139"/>
    </row>
    <row r="35" spans="1:7" ht="12.75">
      <c r="A35" s="71" t="s">
        <v>120</v>
      </c>
      <c r="B35" s="72">
        <f>B32/2</f>
        <v>3.5014599894011655</v>
      </c>
      <c r="C35" s="72">
        <f>C32/2</f>
        <v>3.76</v>
      </c>
      <c r="D35" s="73" t="s">
        <v>4</v>
      </c>
      <c r="E35" s="74"/>
      <c r="F35" s="74"/>
      <c r="G35" s="74"/>
    </row>
    <row r="36" spans="1:7" ht="12.75">
      <c r="A36" s="71" t="s">
        <v>121</v>
      </c>
      <c r="B36" s="94"/>
      <c r="C36" s="68">
        <f>(C35-B35)/(B35+C35)</f>
        <v>0.03560441164396685</v>
      </c>
      <c r="D36" s="65" t="s">
        <v>32</v>
      </c>
      <c r="E36" s="74"/>
      <c r="F36" s="74"/>
      <c r="G36" s="74"/>
    </row>
    <row r="37" spans="1:7" ht="12.75">
      <c r="A37" s="71" t="s">
        <v>105</v>
      </c>
      <c r="B37" s="94"/>
      <c r="C37" s="69">
        <f>C36*$C$18</f>
        <v>28.35401599607481</v>
      </c>
      <c r="D37" s="65" t="s">
        <v>96</v>
      </c>
      <c r="E37" s="74"/>
      <c r="F37" s="74"/>
      <c r="G37" s="74"/>
    </row>
    <row r="38" spans="1:7" ht="12.75">
      <c r="A38" s="71"/>
      <c r="B38" s="94"/>
      <c r="C38" s="69"/>
      <c r="D38" s="65"/>
      <c r="E38" s="74"/>
      <c r="F38" s="74"/>
      <c r="G38" s="74"/>
    </row>
    <row r="39" spans="1:7" ht="12.75">
      <c r="A39" s="75" t="s">
        <v>106</v>
      </c>
      <c r="B39" s="95">
        <f>B35/(B35+C35)*$C$19</f>
        <v>324.0369176876271</v>
      </c>
      <c r="C39" s="95">
        <f>C35/(B35+C35)*C19</f>
        <v>347.9630823123729</v>
      </c>
      <c r="D39" s="76" t="s">
        <v>96</v>
      </c>
      <c r="E39" s="74"/>
      <c r="F39" s="74"/>
      <c r="G39" s="74"/>
    </row>
    <row r="40" spans="1:7" ht="12.75">
      <c r="A40" s="75" t="s">
        <v>108</v>
      </c>
      <c r="B40" s="95"/>
      <c r="C40" s="95">
        <f>C19/2</f>
        <v>336</v>
      </c>
      <c r="D40" s="76" t="s">
        <v>109</v>
      </c>
      <c r="E40" s="74"/>
      <c r="F40" s="74"/>
      <c r="G40" s="74"/>
    </row>
    <row r="41" spans="1:7" ht="12.75">
      <c r="A41" s="75" t="s">
        <v>107</v>
      </c>
      <c r="B41" s="96">
        <f>(B39-$C$40)/$C$40</f>
        <v>-0.035604411643966896</v>
      </c>
      <c r="C41" s="96">
        <f>(C39-$C$40)/$C$40</f>
        <v>0.035604411643966896</v>
      </c>
      <c r="E41" s="74"/>
      <c r="F41" s="74"/>
      <c r="G41" s="74"/>
    </row>
  </sheetData>
  <mergeCells count="2">
    <mergeCell ref="E25:G26"/>
    <mergeCell ref="E33:G34"/>
  </mergeCells>
  <hyperlinks>
    <hyperlink ref="I26" r:id="rId1" display="DC Cabling Balance"/>
  </hyperlinks>
  <printOptions/>
  <pageMargins left="0.75" right="0.75" top="1" bottom="1" header="0.5" footer="0.5"/>
  <pageSetup fitToHeight="1" fitToWidth="1" horizontalDpi="600" verticalDpi="600" orientation="portrait" paperSize="3" scale="67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6:G50"/>
  <sheetViews>
    <sheetView workbookViewId="0" topLeftCell="A1">
      <selection activeCell="B19" sqref="B19"/>
    </sheetView>
  </sheetViews>
  <sheetFormatPr defaultColWidth="9.140625" defaultRowHeight="12.75"/>
  <cols>
    <col min="1" max="1" width="31.8515625" style="0" bestFit="1" customWidth="1"/>
  </cols>
  <sheetData>
    <row r="6" spans="1:3" ht="12.75">
      <c r="A6" s="7" t="s">
        <v>226</v>
      </c>
      <c r="B6" s="100"/>
      <c r="C6" s="100"/>
    </row>
    <row r="7" spans="2:5" ht="12.75">
      <c r="B7" s="4" t="s">
        <v>1</v>
      </c>
      <c r="C7" s="4" t="s">
        <v>2</v>
      </c>
      <c r="D7" s="4" t="s">
        <v>38</v>
      </c>
      <c r="E7" s="4" t="s">
        <v>0</v>
      </c>
    </row>
    <row r="8" spans="1:5" ht="12.75">
      <c r="A8" t="s">
        <v>225</v>
      </c>
      <c r="B8" s="1"/>
      <c r="C8" s="1">
        <v>57</v>
      </c>
      <c r="D8" s="1"/>
      <c r="E8" s="1" t="s">
        <v>3</v>
      </c>
    </row>
    <row r="9" spans="1:5" ht="12.75">
      <c r="A9" t="s">
        <v>167</v>
      </c>
      <c r="B9" s="1">
        <v>-5</v>
      </c>
      <c r="C9" s="1">
        <v>55</v>
      </c>
      <c r="D9" s="1">
        <v>25</v>
      </c>
      <c r="E9" s="1" t="s">
        <v>168</v>
      </c>
    </row>
    <row r="10" spans="2:5" ht="12.75">
      <c r="B10" s="2"/>
      <c r="C10" s="2"/>
      <c r="D10" s="2"/>
      <c r="E10" s="1"/>
    </row>
    <row r="11" spans="1:5" ht="12.75">
      <c r="A11" s="7" t="s">
        <v>227</v>
      </c>
      <c r="B11" s="1"/>
      <c r="C11" s="1"/>
      <c r="D11" s="1"/>
      <c r="E11" s="1"/>
    </row>
    <row r="12" spans="1:5" ht="12.75">
      <c r="A12" s="30" t="s">
        <v>161</v>
      </c>
      <c r="B12" s="1">
        <v>-50</v>
      </c>
      <c r="C12" s="1">
        <v>50</v>
      </c>
      <c r="D12" s="1"/>
      <c r="E12" s="1" t="s">
        <v>162</v>
      </c>
    </row>
    <row r="13" spans="1:5" ht="12.75">
      <c r="A13" s="30" t="s">
        <v>31</v>
      </c>
      <c r="B13" s="101">
        <f>B12/(C8-C12/1000)/1000*100</f>
        <v>-0.08779631255487269</v>
      </c>
      <c r="C13" s="32">
        <f>C12/(C8-C12/1000)/1000*100</f>
        <v>0.08779631255487269</v>
      </c>
      <c r="D13" s="31"/>
      <c r="E13" s="1" t="s">
        <v>32</v>
      </c>
    </row>
    <row r="14" spans="1:5" ht="12.75">
      <c r="A14" t="s">
        <v>163</v>
      </c>
      <c r="B14" s="5">
        <f>C14/B50</f>
        <v>40.00958917825753</v>
      </c>
      <c r="C14" s="5">
        <v>50</v>
      </c>
      <c r="D14" s="2"/>
      <c r="E14" s="1" t="s">
        <v>34</v>
      </c>
    </row>
    <row r="15" spans="1:5" ht="12.75">
      <c r="A15" t="s">
        <v>164</v>
      </c>
      <c r="B15" s="32">
        <v>-1</v>
      </c>
      <c r="C15" s="32">
        <v>1</v>
      </c>
      <c r="D15" s="2"/>
      <c r="E15" s="1" t="s">
        <v>32</v>
      </c>
    </row>
    <row r="16" spans="1:5" ht="12.75">
      <c r="A16" t="s">
        <v>165</v>
      </c>
      <c r="B16" s="32">
        <v>-1</v>
      </c>
      <c r="C16" s="32">
        <v>1</v>
      </c>
      <c r="D16" s="2"/>
      <c r="E16" s="1" t="s">
        <v>32</v>
      </c>
    </row>
    <row r="17" spans="1:5" ht="12.75">
      <c r="A17" t="s">
        <v>166</v>
      </c>
      <c r="B17" s="32">
        <f>0.0003*(B9-D9)*100</f>
        <v>-0.8999999999999999</v>
      </c>
      <c r="C17" s="32">
        <f>0.03*(C9-D9)</f>
        <v>0.8999999999999999</v>
      </c>
      <c r="D17" s="2"/>
      <c r="E17" s="1" t="s">
        <v>32</v>
      </c>
    </row>
    <row r="18" spans="1:5" ht="12.75">
      <c r="A18" t="s">
        <v>169</v>
      </c>
      <c r="B18" s="1">
        <f>-7*0.1</f>
        <v>-0.7000000000000001</v>
      </c>
      <c r="C18" s="1">
        <f>7*0.1</f>
        <v>0.7000000000000001</v>
      </c>
      <c r="E18" s="1" t="s">
        <v>32</v>
      </c>
    </row>
    <row r="19" spans="1:5" ht="12.75">
      <c r="A19" s="3" t="s">
        <v>206</v>
      </c>
      <c r="B19" s="8">
        <f>B13+B15+B16+B17+B18</f>
        <v>-3.6877963125548727</v>
      </c>
      <c r="C19" s="8">
        <f>C13+C15+C16+C17+C18</f>
        <v>3.6877963125548727</v>
      </c>
      <c r="D19" s="3"/>
      <c r="E19" s="4" t="s">
        <v>32</v>
      </c>
    </row>
    <row r="20" spans="1:5" ht="12.75">
      <c r="A20" t="s">
        <v>8</v>
      </c>
      <c r="B20" s="1">
        <v>-1.5</v>
      </c>
      <c r="C20" s="1">
        <v>1.5</v>
      </c>
      <c r="D20" s="1"/>
      <c r="E20" s="1" t="s">
        <v>9</v>
      </c>
    </row>
    <row r="21" spans="2:5" ht="12.75">
      <c r="B21" s="1"/>
      <c r="C21" s="1"/>
      <c r="D21" s="1"/>
      <c r="E21" s="1"/>
    </row>
    <row r="22" spans="1:5" ht="12.75">
      <c r="A22" s="74" t="s">
        <v>228</v>
      </c>
      <c r="B22" s="1"/>
      <c r="C22" s="1"/>
      <c r="D22" s="1"/>
      <c r="E22" s="1"/>
    </row>
    <row r="23" spans="1:7" ht="12.75">
      <c r="A23" t="s">
        <v>186</v>
      </c>
      <c r="B23" s="1">
        <v>100</v>
      </c>
      <c r="C23" s="1"/>
      <c r="D23" s="1"/>
      <c r="E23" s="1" t="s">
        <v>187</v>
      </c>
      <c r="F23" s="140" t="s">
        <v>194</v>
      </c>
      <c r="G23" s="140"/>
    </row>
    <row r="24" spans="1:7" ht="12.75">
      <c r="A24" t="s">
        <v>188</v>
      </c>
      <c r="B24" s="1"/>
      <c r="C24" s="1">
        <v>15</v>
      </c>
      <c r="D24" s="1"/>
      <c r="E24" s="1" t="s">
        <v>189</v>
      </c>
      <c r="F24" s="140"/>
      <c r="G24" s="140"/>
    </row>
    <row r="25" spans="1:7" ht="12.75">
      <c r="A25" t="s">
        <v>190</v>
      </c>
      <c r="C25" s="1">
        <v>75</v>
      </c>
      <c r="E25" s="1" t="s">
        <v>32</v>
      </c>
      <c r="F25" s="140"/>
      <c r="G25" s="140"/>
    </row>
    <row r="26" spans="1:7" ht="12.75">
      <c r="A26" t="s">
        <v>191</v>
      </c>
      <c r="C26" s="1">
        <v>80</v>
      </c>
      <c r="E26" s="1" t="s">
        <v>32</v>
      </c>
      <c r="F26" s="140"/>
      <c r="G26" s="140"/>
    </row>
    <row r="27" spans="1:7" ht="12.75">
      <c r="A27" t="s">
        <v>192</v>
      </c>
      <c r="C27" s="1">
        <v>200</v>
      </c>
      <c r="E27" s="1" t="s">
        <v>5</v>
      </c>
      <c r="F27" s="140"/>
      <c r="G27" s="140"/>
    </row>
    <row r="28" spans="1:7" ht="12.75">
      <c r="A28" s="3" t="s">
        <v>193</v>
      </c>
      <c r="B28" s="3"/>
      <c r="C28" s="4">
        <f>B23*C24*C25/100*C26/100-C27</f>
        <v>700</v>
      </c>
      <c r="D28" s="3"/>
      <c r="E28" s="4" t="s">
        <v>5</v>
      </c>
      <c r="F28" s="140"/>
      <c r="G28" s="140"/>
    </row>
    <row r="29" spans="3:7" ht="12.75">
      <c r="C29" s="1"/>
      <c r="E29" s="1"/>
      <c r="F29" s="104"/>
      <c r="G29" s="104"/>
    </row>
    <row r="30" spans="1:7" ht="12.75">
      <c r="A30" s="3" t="s">
        <v>195</v>
      </c>
      <c r="B30" s="3"/>
      <c r="C30" s="105">
        <f>15.4*48</f>
        <v>739.2</v>
      </c>
      <c r="D30" s="3"/>
      <c r="E30" s="4" t="s">
        <v>5</v>
      </c>
      <c r="F30" s="140" t="s">
        <v>196</v>
      </c>
      <c r="G30" s="140"/>
    </row>
    <row r="31" spans="5:7" ht="12.75">
      <c r="E31" s="1"/>
      <c r="F31" s="104"/>
      <c r="G31" s="104"/>
    </row>
    <row r="32" spans="2:6" ht="12.75">
      <c r="B32" s="4"/>
      <c r="C32" s="4"/>
      <c r="D32" s="4"/>
      <c r="E32" s="4" t="s">
        <v>2</v>
      </c>
      <c r="F32" s="4"/>
    </row>
    <row r="33" spans="1:7" ht="12.75">
      <c r="A33" s="74" t="s">
        <v>229</v>
      </c>
      <c r="B33" s="4" t="s">
        <v>1</v>
      </c>
      <c r="C33" s="4" t="s">
        <v>38</v>
      </c>
      <c r="D33" s="4" t="s">
        <v>2</v>
      </c>
      <c r="E33" s="4" t="s">
        <v>152</v>
      </c>
      <c r="F33" s="4" t="s">
        <v>0</v>
      </c>
      <c r="G33" s="4" t="s">
        <v>158</v>
      </c>
    </row>
    <row r="34" spans="1:7" ht="12.75">
      <c r="A34" t="s">
        <v>267</v>
      </c>
      <c r="B34" s="1">
        <v>210</v>
      </c>
      <c r="C34" s="1">
        <v>260</v>
      </c>
      <c r="D34" s="1">
        <v>310</v>
      </c>
      <c r="E34" s="1">
        <v>40</v>
      </c>
      <c r="F34" t="s">
        <v>153</v>
      </c>
      <c r="G34" s="96">
        <f>E34/(B34+B34+E34)</f>
        <v>0.08695652173913043</v>
      </c>
    </row>
    <row r="35" spans="1:7" ht="12.75">
      <c r="A35" t="s">
        <v>268</v>
      </c>
      <c r="B35" s="1">
        <v>370</v>
      </c>
      <c r="C35" s="1">
        <v>460</v>
      </c>
      <c r="D35" s="1">
        <v>550</v>
      </c>
      <c r="E35" s="1">
        <v>70</v>
      </c>
      <c r="F35" t="s">
        <v>153</v>
      </c>
      <c r="G35" s="96">
        <f>E35/(B35+B35+E35)</f>
        <v>0.08641975308641975</v>
      </c>
    </row>
    <row r="36" spans="1:7" ht="12.75">
      <c r="A36" t="s">
        <v>269</v>
      </c>
      <c r="B36" s="1">
        <v>265</v>
      </c>
      <c r="C36" s="1">
        <v>330</v>
      </c>
      <c r="D36" s="1">
        <v>400</v>
      </c>
      <c r="E36" s="1">
        <v>50</v>
      </c>
      <c r="F36" t="s">
        <v>153</v>
      </c>
      <c r="G36" s="96">
        <f>E36/(B36+B36+E36)</f>
        <v>0.08620689655172414</v>
      </c>
    </row>
    <row r="37" spans="1:7" ht="12.75">
      <c r="A37" t="s">
        <v>270</v>
      </c>
      <c r="B37" s="1">
        <v>470</v>
      </c>
      <c r="C37" s="1">
        <v>585</v>
      </c>
      <c r="D37" s="1">
        <v>700</v>
      </c>
      <c r="E37" s="1">
        <v>85</v>
      </c>
      <c r="F37" t="s">
        <v>153</v>
      </c>
      <c r="G37" s="96">
        <f>E37/(B37+B37+E37)</f>
        <v>0.08292682926829269</v>
      </c>
    </row>
    <row r="38" ht="12.75">
      <c r="A38" t="s">
        <v>28</v>
      </c>
    </row>
    <row r="39" ht="12.75">
      <c r="A39" t="s">
        <v>154</v>
      </c>
    </row>
    <row r="40" ht="12.75">
      <c r="A40" t="s">
        <v>155</v>
      </c>
    </row>
    <row r="41" ht="12.75">
      <c r="A41" t="s">
        <v>156</v>
      </c>
    </row>
    <row r="42" ht="12.75">
      <c r="A42" t="s">
        <v>157</v>
      </c>
    </row>
    <row r="43" ht="12.75">
      <c r="A43" t="s">
        <v>160</v>
      </c>
    </row>
    <row r="45" ht="12.75">
      <c r="A45" s="74" t="s">
        <v>232</v>
      </c>
    </row>
    <row r="46" spans="1:3" ht="12.75">
      <c r="A46" s="114"/>
      <c r="C46" t="s">
        <v>0</v>
      </c>
    </row>
    <row r="47" spans="1:2" ht="12.75">
      <c r="A47" s="115" t="s">
        <v>230</v>
      </c>
      <c r="B47">
        <v>0.00393</v>
      </c>
    </row>
    <row r="48" spans="1:3" ht="12.75">
      <c r="A48" s="115" t="s">
        <v>231</v>
      </c>
      <c r="B48" s="116">
        <f>MAX(C9-D9,D9-B9)</f>
        <v>30</v>
      </c>
      <c r="C48" t="s">
        <v>168</v>
      </c>
    </row>
    <row r="49" spans="1:2" ht="12.75">
      <c r="A49" s="115" t="s">
        <v>233</v>
      </c>
      <c r="B49" s="50">
        <f>1+B47*B48</f>
        <v>1.1179000000000001</v>
      </c>
    </row>
    <row r="50" spans="1:2" ht="12.75">
      <c r="A50" s="115" t="s">
        <v>234</v>
      </c>
      <c r="B50" s="50">
        <f>B49/(1/B49)</f>
        <v>1.2497004100000002</v>
      </c>
    </row>
  </sheetData>
  <mergeCells count="2">
    <mergeCell ref="F23:G28"/>
    <mergeCell ref="F30:G30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V20"/>
  <sheetViews>
    <sheetView workbookViewId="0" topLeftCell="A1">
      <selection activeCell="J30" sqref="J30"/>
    </sheetView>
  </sheetViews>
  <sheetFormatPr defaultColWidth="9.140625" defaultRowHeight="12.75"/>
  <cols>
    <col min="2" max="2" width="13.7109375" style="0" bestFit="1" customWidth="1"/>
    <col min="3" max="3" width="15.140625" style="0" bestFit="1" customWidth="1"/>
    <col min="4" max="4" width="9.00390625" style="0" bestFit="1" customWidth="1"/>
    <col min="5" max="5" width="9.8515625" style="0" bestFit="1" customWidth="1"/>
    <col min="6" max="6" width="9.8515625" style="0" customWidth="1"/>
    <col min="7" max="7" width="9.28125" style="0" bestFit="1" customWidth="1"/>
    <col min="8" max="8" width="15.140625" style="0" bestFit="1" customWidth="1"/>
    <col min="9" max="9" width="9.28125" style="0" bestFit="1" customWidth="1"/>
    <col min="14" max="14" width="11.8515625" style="0" bestFit="1" customWidth="1"/>
    <col min="15" max="15" width="10.421875" style="0" bestFit="1" customWidth="1"/>
    <col min="16" max="16" width="11.8515625" style="0" bestFit="1" customWidth="1"/>
  </cols>
  <sheetData>
    <row r="5" spans="2:4" ht="12.75">
      <c r="B5" t="s">
        <v>134</v>
      </c>
      <c r="C5" s="91">
        <v>0.11</v>
      </c>
      <c r="D5" t="s">
        <v>135</v>
      </c>
    </row>
    <row r="6" spans="6:22" ht="12.75">
      <c r="F6" s="11"/>
      <c r="T6" t="s">
        <v>57</v>
      </c>
      <c r="U6">
        <f>C13</f>
        <v>48.9</v>
      </c>
      <c r="V6" t="s">
        <v>9</v>
      </c>
    </row>
    <row r="7" ht="12.75">
      <c r="B7" t="s">
        <v>146</v>
      </c>
    </row>
    <row r="8" spans="2:21" ht="12.75">
      <c r="B8" s="3"/>
      <c r="C8" s="131" t="s">
        <v>60</v>
      </c>
      <c r="D8" s="131"/>
      <c r="E8" s="131"/>
      <c r="F8" s="131"/>
      <c r="G8" s="131"/>
      <c r="H8" s="142" t="s">
        <v>61</v>
      </c>
      <c r="I8" s="142"/>
      <c r="J8" s="142"/>
      <c r="K8" s="142"/>
      <c r="L8" s="142"/>
      <c r="M8" s="4" t="s">
        <v>137</v>
      </c>
      <c r="N8" s="4" t="s">
        <v>141</v>
      </c>
      <c r="P8" s="131" t="s">
        <v>141</v>
      </c>
      <c r="Q8" s="131"/>
      <c r="R8" s="131"/>
      <c r="S8" s="131"/>
      <c r="T8" s="141" t="s">
        <v>312</v>
      </c>
      <c r="U8" s="141"/>
    </row>
    <row r="9" spans="2:21" ht="12.75">
      <c r="B9" s="3" t="s">
        <v>127</v>
      </c>
      <c r="C9" s="3" t="s">
        <v>128</v>
      </c>
      <c r="D9" s="3" t="s">
        <v>129</v>
      </c>
      <c r="E9" s="3" t="s">
        <v>139</v>
      </c>
      <c r="F9" s="4" t="s">
        <v>148</v>
      </c>
      <c r="G9" s="3" t="s">
        <v>130</v>
      </c>
      <c r="H9" s="3" t="s">
        <v>128</v>
      </c>
      <c r="I9" s="3" t="s">
        <v>129</v>
      </c>
      <c r="J9" s="3" t="s">
        <v>140</v>
      </c>
      <c r="K9" s="4" t="s">
        <v>148</v>
      </c>
      <c r="L9" s="3" t="s">
        <v>130</v>
      </c>
      <c r="M9" s="4" t="s">
        <v>136</v>
      </c>
      <c r="N9" s="4" t="s">
        <v>170</v>
      </c>
      <c r="O9" s="4"/>
      <c r="P9" s="4" t="s">
        <v>308</v>
      </c>
      <c r="Q9" s="4" t="s">
        <v>96</v>
      </c>
      <c r="R9" s="4" t="s">
        <v>309</v>
      </c>
      <c r="S9" s="4" t="s">
        <v>147</v>
      </c>
      <c r="T9" s="4" t="s">
        <v>96</v>
      </c>
      <c r="U9" s="4" t="s">
        <v>147</v>
      </c>
    </row>
    <row r="10" spans="2:22" ht="12.75">
      <c r="B10" s="1">
        <v>12.95</v>
      </c>
      <c r="C10" s="1">
        <v>50.4</v>
      </c>
      <c r="D10" s="32">
        <v>14</v>
      </c>
      <c r="E10" s="5">
        <f>D10/C10*1000/2</f>
        <v>138.88888888888889</v>
      </c>
      <c r="F10" s="32">
        <f>C10-G10/(2*E10)*1000</f>
        <v>46.62</v>
      </c>
      <c r="G10" s="32">
        <f>D10-B10</f>
        <v>1.0500000000000007</v>
      </c>
      <c r="H10" s="32">
        <v>50.88</v>
      </c>
      <c r="I10" s="32">
        <v>13.44</v>
      </c>
      <c r="J10" s="5">
        <f aca="true" t="shared" si="0" ref="J10:J15">I10/H10*1000/4</f>
        <v>66.0377358490566</v>
      </c>
      <c r="K10" s="32">
        <f aca="true" t="shared" si="1" ref="K10:K15">H10-L10/(4*J10)*1000</f>
        <v>49.025</v>
      </c>
      <c r="L10" s="1">
        <f aca="true" t="shared" si="2" ref="L10:L15">I10-B10</f>
        <v>0.4900000000000002</v>
      </c>
      <c r="M10" s="32">
        <f>G10-L10</f>
        <v>0.5600000000000005</v>
      </c>
      <c r="N10" s="1">
        <v>37</v>
      </c>
      <c r="P10" s="125" t="s">
        <v>315</v>
      </c>
      <c r="Q10" s="1">
        <v>350</v>
      </c>
      <c r="R10" s="2">
        <f>Q10/$Q$10</f>
        <v>1</v>
      </c>
      <c r="S10" s="1">
        <f>44-20*Q10/1000</f>
        <v>37</v>
      </c>
      <c r="T10" s="5">
        <f>E13*2</f>
        <v>795.5010224948875</v>
      </c>
      <c r="U10" s="32">
        <f>$U$6-PD!$D$10*T10/1000</f>
        <v>37.683435582822085</v>
      </c>
      <c r="V10" s="10"/>
    </row>
    <row r="11" spans="2:21" ht="12.75">
      <c r="B11" s="1">
        <v>20</v>
      </c>
      <c r="C11" s="1">
        <v>49.9</v>
      </c>
      <c r="D11" s="32">
        <v>23</v>
      </c>
      <c r="E11" s="5">
        <f>D11/C11*1000/2</f>
        <v>230.46092184368737</v>
      </c>
      <c r="F11" s="32">
        <f>C11-G11/(2*E11)*1000</f>
        <v>43.391304347826086</v>
      </c>
      <c r="G11" s="1">
        <f>D11-B11</f>
        <v>3</v>
      </c>
      <c r="H11" s="32">
        <v>50.63</v>
      </c>
      <c r="I11" s="32">
        <v>21.24</v>
      </c>
      <c r="J11" s="5">
        <f t="shared" si="0"/>
        <v>104.87853051550462</v>
      </c>
      <c r="K11" s="32">
        <f t="shared" si="1"/>
        <v>47.67419962335217</v>
      </c>
      <c r="L11" s="1">
        <f t="shared" si="2"/>
        <v>1.2399999999999984</v>
      </c>
      <c r="M11" s="1">
        <f>G11-L11</f>
        <v>1.7600000000000016</v>
      </c>
      <c r="N11" s="1">
        <v>37</v>
      </c>
      <c r="P11" t="s">
        <v>310</v>
      </c>
      <c r="Q11" s="1">
        <v>400</v>
      </c>
      <c r="R11" s="2">
        <f>Q11/$Q$10</f>
        <v>1.1428571428571428</v>
      </c>
      <c r="S11" s="1">
        <f>44-20*Q11/1000</f>
        <v>36</v>
      </c>
      <c r="T11" s="5">
        <f>T10*R11</f>
        <v>909.1440257084428</v>
      </c>
      <c r="U11" s="32">
        <f>$U$6-PD!$D$10*T11/1000</f>
        <v>36.08106923751096</v>
      </c>
    </row>
    <row r="12" spans="2:21" ht="12.75">
      <c r="B12" s="1">
        <v>25</v>
      </c>
      <c r="C12" s="1">
        <v>49.4</v>
      </c>
      <c r="D12" s="1">
        <v>30.3</v>
      </c>
      <c r="E12" s="5">
        <f>D12/C12*1000/2</f>
        <v>306.6801619433199</v>
      </c>
      <c r="F12" s="32">
        <f>C12-G12/(2*E12)*1000</f>
        <v>40.759075907590756</v>
      </c>
      <c r="G12" s="1">
        <f>D12-B12</f>
        <v>5.300000000000001</v>
      </c>
      <c r="H12" s="32">
        <v>50.45</v>
      </c>
      <c r="I12" s="32">
        <v>27.02</v>
      </c>
      <c r="J12" s="5">
        <f t="shared" si="0"/>
        <v>133.89494549058472</v>
      </c>
      <c r="K12" s="32">
        <f t="shared" si="1"/>
        <v>46.678386380458925</v>
      </c>
      <c r="L12" s="1">
        <f t="shared" si="2"/>
        <v>2.0199999999999996</v>
      </c>
      <c r="M12" s="1">
        <f>G12-L12</f>
        <v>3.280000000000001</v>
      </c>
      <c r="N12" s="1">
        <v>37</v>
      </c>
      <c r="P12" s="84" t="s">
        <v>311</v>
      </c>
      <c r="Q12" s="86">
        <v>450</v>
      </c>
      <c r="R12" s="126">
        <f>Q12/$Q$10</f>
        <v>1.2857142857142858</v>
      </c>
      <c r="S12" s="86">
        <f>44-20*Q12/1000</f>
        <v>35</v>
      </c>
      <c r="T12" s="127">
        <f>T10*R12</f>
        <v>1022.7870289219983</v>
      </c>
      <c r="U12" s="128">
        <f>$U$6-PD!$D$10*T12/1000</f>
        <v>34.47870289219982</v>
      </c>
    </row>
    <row r="13" spans="2:14" ht="12.75">
      <c r="B13" s="1">
        <v>30</v>
      </c>
      <c r="C13" s="1">
        <v>48.9</v>
      </c>
      <c r="D13" s="1">
        <v>38.9</v>
      </c>
      <c r="E13" s="5">
        <f>D13/C13*1000/2</f>
        <v>397.75051124744374</v>
      </c>
      <c r="F13" s="32">
        <f>C13-G13/(2*E13)*1000</f>
        <v>37.7120822622108</v>
      </c>
      <c r="G13" s="1">
        <f>D13-B13</f>
        <v>8.899999999999999</v>
      </c>
      <c r="H13" s="32">
        <v>50.3</v>
      </c>
      <c r="I13" s="32">
        <v>33</v>
      </c>
      <c r="J13" s="5">
        <f t="shared" si="0"/>
        <v>164.01590457256464</v>
      </c>
      <c r="K13" s="32">
        <f>H13-L13/(4*J13)*1000</f>
        <v>45.72727272727273</v>
      </c>
      <c r="L13" s="1">
        <f t="shared" si="2"/>
        <v>3</v>
      </c>
      <c r="M13" s="1">
        <f>G13-L13</f>
        <v>5.899999999999999</v>
      </c>
      <c r="N13" s="1">
        <v>37</v>
      </c>
    </row>
    <row r="14" spans="2:14" ht="12.75">
      <c r="B14" s="1">
        <v>40</v>
      </c>
      <c r="C14" s="86"/>
      <c r="D14" s="86"/>
      <c r="E14" s="86"/>
      <c r="F14" s="86"/>
      <c r="G14" s="86"/>
      <c r="H14" s="1">
        <v>49.8</v>
      </c>
      <c r="I14" s="32">
        <v>46</v>
      </c>
      <c r="J14" s="5">
        <f t="shared" si="0"/>
        <v>230.9236947791165</v>
      </c>
      <c r="K14" s="32">
        <f t="shared" si="1"/>
        <v>43.30434782608695</v>
      </c>
      <c r="L14" s="1">
        <f t="shared" si="2"/>
        <v>6</v>
      </c>
      <c r="M14" s="84"/>
      <c r="N14" s="1">
        <v>37</v>
      </c>
    </row>
    <row r="15" spans="2:14" ht="12.75">
      <c r="B15" s="1">
        <v>60</v>
      </c>
      <c r="C15" s="86"/>
      <c r="D15" s="86"/>
      <c r="E15" s="86"/>
      <c r="F15" s="86"/>
      <c r="G15" s="86"/>
      <c r="H15" s="1">
        <v>48.8</v>
      </c>
      <c r="I15" s="32">
        <v>78</v>
      </c>
      <c r="J15" s="5">
        <f t="shared" si="0"/>
        <v>399.59016393442624</v>
      </c>
      <c r="K15" s="32">
        <f t="shared" si="1"/>
        <v>37.53846153846153</v>
      </c>
      <c r="L15" s="1">
        <f t="shared" si="2"/>
        <v>18</v>
      </c>
      <c r="M15" s="84"/>
      <c r="N15" s="1">
        <v>37</v>
      </c>
    </row>
    <row r="17" ht="12.75">
      <c r="I17" t="s">
        <v>28</v>
      </c>
    </row>
    <row r="18" ht="12.75">
      <c r="I18" t="s">
        <v>277</v>
      </c>
    </row>
    <row r="19" ht="12.75">
      <c r="I19" t="s">
        <v>307</v>
      </c>
    </row>
    <row r="20" ht="12.75">
      <c r="I20" t="s">
        <v>314</v>
      </c>
    </row>
  </sheetData>
  <mergeCells count="4">
    <mergeCell ref="T8:U8"/>
    <mergeCell ref="H8:L8"/>
    <mergeCell ref="C8:G8"/>
    <mergeCell ref="P8:S8"/>
  </mergeCells>
  <printOptions/>
  <pageMargins left="0.75" right="0.75" top="1" bottom="1" header="0.5" footer="0.5"/>
  <pageSetup fitToHeight="1" fitToWidth="1" horizontalDpi="600" verticalDpi="600" orientation="portrait" paperSize="3" scale="71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8" sqref="B8"/>
    </sheetView>
  </sheetViews>
  <sheetFormatPr defaultColWidth="9.140625" defaultRowHeight="12.75"/>
  <cols>
    <col min="2" max="2" width="67.00390625" style="0" customWidth="1"/>
  </cols>
  <sheetData>
    <row r="1" ht="12.75">
      <c r="A1" s="3" t="s">
        <v>300</v>
      </c>
    </row>
    <row r="2" spans="1:2" ht="12.75">
      <c r="A2" t="s">
        <v>301</v>
      </c>
      <c r="B2" t="s">
        <v>68</v>
      </c>
    </row>
    <row r="3" spans="1:2" ht="12.75">
      <c r="A3" t="s">
        <v>302</v>
      </c>
      <c r="B3" t="s">
        <v>303</v>
      </c>
    </row>
    <row r="5" spans="1:2" ht="12.75">
      <c r="A5" t="s">
        <v>304</v>
      </c>
      <c r="B5" t="s">
        <v>305</v>
      </c>
    </row>
    <row r="6" ht="12.75">
      <c r="B6" t="s">
        <v>306</v>
      </c>
    </row>
    <row r="7" ht="12.75">
      <c r="B7" t="s">
        <v>313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64"/>
  <sheetViews>
    <sheetView workbookViewId="0" topLeftCell="A1">
      <selection activeCell="C62" sqref="C62"/>
    </sheetView>
  </sheetViews>
  <sheetFormatPr defaultColWidth="9.140625" defaultRowHeight="12.75"/>
  <cols>
    <col min="1" max="1" width="18.57421875" style="0" customWidth="1"/>
    <col min="2" max="2" width="21.00390625" style="0" bestFit="1" customWidth="1"/>
    <col min="3" max="3" width="28.421875" style="0" bestFit="1" customWidth="1"/>
  </cols>
  <sheetData>
    <row r="6" ht="12.75">
      <c r="A6" t="s">
        <v>149</v>
      </c>
    </row>
    <row r="8" spans="1:3" ht="12.75">
      <c r="A8" s="103" t="s">
        <v>150</v>
      </c>
      <c r="B8" s="103" t="s">
        <v>151</v>
      </c>
      <c r="C8" s="102" t="s">
        <v>68</v>
      </c>
    </row>
    <row r="9" spans="1:3" ht="12.75">
      <c r="A9" s="53" t="s">
        <v>182</v>
      </c>
      <c r="B9" s="53" t="s">
        <v>183</v>
      </c>
      <c r="C9" t="s">
        <v>176</v>
      </c>
    </row>
    <row r="10" spans="1:3" ht="12.75">
      <c r="A10" s="53" t="s">
        <v>184</v>
      </c>
      <c r="B10" s="53" t="s">
        <v>185</v>
      </c>
      <c r="C10" t="s">
        <v>176</v>
      </c>
    </row>
    <row r="11" spans="1:3" ht="12.75">
      <c r="A11" s="53" t="s">
        <v>173</v>
      </c>
      <c r="B11" s="53" t="s">
        <v>174</v>
      </c>
      <c r="C11" t="s">
        <v>175</v>
      </c>
    </row>
    <row r="12" spans="1:3" ht="12.75">
      <c r="A12" s="53" t="s">
        <v>171</v>
      </c>
      <c r="B12" s="53" t="s">
        <v>172</v>
      </c>
      <c r="C12" t="s">
        <v>176</v>
      </c>
    </row>
    <row r="13" spans="1:3" ht="12.75">
      <c r="A13" s="53" t="s">
        <v>179</v>
      </c>
      <c r="B13" s="53" t="s">
        <v>181</v>
      </c>
      <c r="C13" t="s">
        <v>180</v>
      </c>
    </row>
    <row r="14" spans="1:3" ht="12.75">
      <c r="A14" s="53" t="s">
        <v>177</v>
      </c>
      <c r="B14" s="53" t="s">
        <v>178</v>
      </c>
      <c r="C14" t="s">
        <v>176</v>
      </c>
    </row>
    <row r="15" spans="1:3" ht="12.75">
      <c r="A15" s="60" t="s">
        <v>278</v>
      </c>
      <c r="B15" s="60" t="s">
        <v>174</v>
      </c>
      <c r="C15" t="s">
        <v>279</v>
      </c>
    </row>
    <row r="17" ht="12.75">
      <c r="A17" s="3" t="s">
        <v>216</v>
      </c>
    </row>
    <row r="18" spans="1:2" ht="12.75">
      <c r="A18" s="53" t="s">
        <v>212</v>
      </c>
      <c r="B18" s="112" t="s">
        <v>181</v>
      </c>
    </row>
    <row r="19" spans="1:2" ht="12.75">
      <c r="A19" s="60" t="s">
        <v>215</v>
      </c>
      <c r="B19" s="113" t="s">
        <v>181</v>
      </c>
    </row>
    <row r="20" spans="1:2" ht="12.75">
      <c r="A20" s="60" t="s">
        <v>177</v>
      </c>
      <c r="B20" s="113" t="s">
        <v>178</v>
      </c>
    </row>
    <row r="21" spans="1:2" ht="12.75">
      <c r="A21" s="60" t="s">
        <v>179</v>
      </c>
      <c r="B21" s="113" t="s">
        <v>181</v>
      </c>
    </row>
    <row r="22" spans="1:2" ht="12.75">
      <c r="A22" s="53" t="s">
        <v>171</v>
      </c>
      <c r="B22" s="112" t="s">
        <v>172</v>
      </c>
    </row>
    <row r="23" spans="1:2" ht="12.75">
      <c r="A23" s="60" t="s">
        <v>213</v>
      </c>
      <c r="B23" s="113" t="s">
        <v>214</v>
      </c>
    </row>
    <row r="24" spans="1:2" ht="12.75">
      <c r="A24" s="53" t="s">
        <v>210</v>
      </c>
      <c r="B24" s="112" t="s">
        <v>181</v>
      </c>
    </row>
    <row r="25" spans="1:2" ht="12.75">
      <c r="A25" s="53" t="s">
        <v>211</v>
      </c>
      <c r="B25" s="112" t="s">
        <v>183</v>
      </c>
    </row>
    <row r="26" spans="1:2" ht="12.75">
      <c r="A26" s="53" t="s">
        <v>316</v>
      </c>
      <c r="B26" s="112" t="s">
        <v>183</v>
      </c>
    </row>
    <row r="27" spans="1:2" ht="12.75">
      <c r="A27" s="53" t="s">
        <v>208</v>
      </c>
      <c r="B27" s="112" t="s">
        <v>209</v>
      </c>
    </row>
    <row r="29" spans="1:3" ht="12.75">
      <c r="A29" s="53" t="s">
        <v>171</v>
      </c>
      <c r="B29" s="112" t="s">
        <v>172</v>
      </c>
      <c r="C29" t="s">
        <v>218</v>
      </c>
    </row>
    <row r="31" ht="12.75">
      <c r="A31" s="3" t="s">
        <v>293</v>
      </c>
    </row>
    <row r="32" spans="1:2" ht="12.75">
      <c r="A32" s="53" t="s">
        <v>316</v>
      </c>
      <c r="B32" s="112" t="s">
        <v>183</v>
      </c>
    </row>
    <row r="33" spans="1:2" ht="12.75">
      <c r="A33" s="53" t="s">
        <v>291</v>
      </c>
      <c r="B33" s="112" t="s">
        <v>290</v>
      </c>
    </row>
    <row r="34" spans="1:2" ht="12.75">
      <c r="A34" s="53" t="s">
        <v>212</v>
      </c>
      <c r="B34" s="112" t="s">
        <v>181</v>
      </c>
    </row>
    <row r="35" spans="1:2" ht="12.75">
      <c r="A35" s="60" t="s">
        <v>213</v>
      </c>
      <c r="B35" s="113" t="s">
        <v>214</v>
      </c>
    </row>
    <row r="36" spans="1:2" ht="12.75">
      <c r="A36" s="60" t="s">
        <v>288</v>
      </c>
      <c r="B36" s="113" t="s">
        <v>289</v>
      </c>
    </row>
    <row r="37" spans="1:2" ht="12.75">
      <c r="A37" s="60" t="s">
        <v>179</v>
      </c>
      <c r="B37" s="113" t="s">
        <v>181</v>
      </c>
    </row>
    <row r="38" spans="1:2" ht="12.75">
      <c r="A38" s="60" t="s">
        <v>177</v>
      </c>
      <c r="B38" s="113" t="s">
        <v>178</v>
      </c>
    </row>
    <row r="39" spans="1:2" ht="12.75">
      <c r="A39" s="60" t="s">
        <v>287</v>
      </c>
      <c r="B39" s="113" t="s">
        <v>181</v>
      </c>
    </row>
    <row r="40" spans="1:2" ht="12.75">
      <c r="A40" s="25"/>
      <c r="B40" s="25"/>
    </row>
    <row r="41" spans="1:3" ht="12.75">
      <c r="A41" s="60" t="s">
        <v>294</v>
      </c>
      <c r="B41" s="60" t="s">
        <v>295</v>
      </c>
      <c r="C41" t="s">
        <v>296</v>
      </c>
    </row>
    <row r="42" spans="1:3" ht="12.75">
      <c r="A42" s="60" t="s">
        <v>292</v>
      </c>
      <c r="B42" s="60" t="s">
        <v>297</v>
      </c>
      <c r="C42" t="s">
        <v>296</v>
      </c>
    </row>
    <row r="43" spans="1:3" ht="12.75">
      <c r="A43" s="53" t="s">
        <v>171</v>
      </c>
      <c r="B43" s="112" t="s">
        <v>172</v>
      </c>
      <c r="C43" t="s">
        <v>296</v>
      </c>
    </row>
    <row r="44" spans="1:3" ht="12.75">
      <c r="A44" s="25" t="s">
        <v>298</v>
      </c>
      <c r="B44" s="25" t="s">
        <v>181</v>
      </c>
      <c r="C44" t="s">
        <v>296</v>
      </c>
    </row>
    <row r="46" ht="12.75">
      <c r="A46" s="3" t="s">
        <v>286</v>
      </c>
    </row>
    <row r="47" spans="1:3" ht="12.75">
      <c r="A47" s="53" t="s">
        <v>316</v>
      </c>
      <c r="B47" s="112" t="s">
        <v>183</v>
      </c>
      <c r="C47">
        <v>1</v>
      </c>
    </row>
    <row r="48" spans="1:3" ht="12.75">
      <c r="A48" s="53" t="s">
        <v>291</v>
      </c>
      <c r="B48" s="112" t="s">
        <v>290</v>
      </c>
      <c r="C48">
        <f>1+C47</f>
        <v>2</v>
      </c>
    </row>
    <row r="49" spans="1:3" ht="12.75">
      <c r="A49" s="60" t="s">
        <v>294</v>
      </c>
      <c r="B49" s="60" t="s">
        <v>295</v>
      </c>
      <c r="C49">
        <f aca="true" t="shared" si="0" ref="C49:C64">1+C48</f>
        <v>3</v>
      </c>
    </row>
    <row r="50" spans="1:3" ht="12.75">
      <c r="A50" s="53" t="s">
        <v>212</v>
      </c>
      <c r="B50" s="112" t="s">
        <v>181</v>
      </c>
      <c r="C50">
        <f t="shared" si="0"/>
        <v>4</v>
      </c>
    </row>
    <row r="51" spans="1:3" ht="12.75">
      <c r="A51" s="60" t="s">
        <v>292</v>
      </c>
      <c r="B51" s="60" t="s">
        <v>297</v>
      </c>
      <c r="C51">
        <f t="shared" si="0"/>
        <v>5</v>
      </c>
    </row>
    <row r="52" spans="1:3" ht="12.75">
      <c r="A52" s="60" t="s">
        <v>278</v>
      </c>
      <c r="B52" s="60" t="s">
        <v>174</v>
      </c>
      <c r="C52">
        <f t="shared" si="0"/>
        <v>6</v>
      </c>
    </row>
    <row r="53" spans="1:3" ht="12.75">
      <c r="A53" s="53" t="s">
        <v>211</v>
      </c>
      <c r="B53" s="112" t="s">
        <v>183</v>
      </c>
      <c r="C53">
        <f t="shared" si="0"/>
        <v>7</v>
      </c>
    </row>
    <row r="54" spans="1:3" ht="12.75">
      <c r="A54" s="53" t="s">
        <v>171</v>
      </c>
      <c r="B54" s="112" t="s">
        <v>172</v>
      </c>
      <c r="C54">
        <f t="shared" si="0"/>
        <v>8</v>
      </c>
    </row>
    <row r="55" spans="1:3" ht="12.75">
      <c r="A55" s="60" t="s">
        <v>215</v>
      </c>
      <c r="B55" s="113" t="s">
        <v>181</v>
      </c>
      <c r="C55">
        <f t="shared" si="0"/>
        <v>9</v>
      </c>
    </row>
    <row r="56" spans="1:3" ht="12.75">
      <c r="A56" s="60" t="s">
        <v>298</v>
      </c>
      <c r="B56" s="113" t="s">
        <v>181</v>
      </c>
      <c r="C56">
        <f t="shared" si="0"/>
        <v>10</v>
      </c>
    </row>
    <row r="57" spans="1:3" ht="12.75">
      <c r="A57" s="60" t="s">
        <v>213</v>
      </c>
      <c r="B57" s="113" t="s">
        <v>214</v>
      </c>
      <c r="C57">
        <f t="shared" si="0"/>
        <v>11</v>
      </c>
    </row>
    <row r="58" spans="1:3" ht="12.75">
      <c r="A58" s="60" t="s">
        <v>288</v>
      </c>
      <c r="B58" s="113" t="s">
        <v>289</v>
      </c>
      <c r="C58">
        <f t="shared" si="0"/>
        <v>12</v>
      </c>
    </row>
    <row r="59" spans="1:3" ht="12.75">
      <c r="A59" s="53" t="s">
        <v>173</v>
      </c>
      <c r="B59" s="53" t="s">
        <v>174</v>
      </c>
      <c r="C59">
        <f t="shared" si="0"/>
        <v>13</v>
      </c>
    </row>
    <row r="60" spans="1:3" ht="12.75">
      <c r="A60" s="53" t="s">
        <v>208</v>
      </c>
      <c r="B60" s="112" t="s">
        <v>209</v>
      </c>
      <c r="C60">
        <f t="shared" si="0"/>
        <v>14</v>
      </c>
    </row>
    <row r="61" spans="1:3" ht="12.75">
      <c r="A61" s="53" t="s">
        <v>210</v>
      </c>
      <c r="B61" s="112" t="s">
        <v>181</v>
      </c>
      <c r="C61">
        <f t="shared" si="0"/>
        <v>15</v>
      </c>
    </row>
    <row r="62" spans="1:3" ht="12.75">
      <c r="A62" s="60" t="s">
        <v>179</v>
      </c>
      <c r="B62" s="113" t="s">
        <v>181</v>
      </c>
      <c r="C62">
        <f t="shared" si="0"/>
        <v>16</v>
      </c>
    </row>
    <row r="63" spans="1:3" ht="12.75">
      <c r="A63" s="60" t="s">
        <v>177</v>
      </c>
      <c r="B63" s="113" t="s">
        <v>178</v>
      </c>
      <c r="C63">
        <f t="shared" si="0"/>
        <v>17</v>
      </c>
    </row>
    <row r="64" spans="1:3" ht="12.75">
      <c r="A64" s="60" t="s">
        <v>287</v>
      </c>
      <c r="B64" s="113" t="s">
        <v>181</v>
      </c>
      <c r="C64">
        <f t="shared" si="0"/>
        <v>18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802.3at Vport System Estimator</dc:title>
  <dc:subject>IEEE 802.3at Vport Ad Hoc</dc:subject>
  <dc:creator>fred schindler</dc:creator>
  <cp:keywords>IEEE 802.3at PoE plus </cp:keywords>
  <dc:description/>
  <cp:lastModifiedBy>fred schinder</cp:lastModifiedBy>
  <cp:lastPrinted>2006-05-11T00:49:06Z</cp:lastPrinted>
  <dcterms:created xsi:type="dcterms:W3CDTF">2006-01-06T01:22:11Z</dcterms:created>
  <dcterms:modified xsi:type="dcterms:W3CDTF">2006-05-23T20:19:12Z</dcterms:modified>
  <cp:category>IEEE 802.3at Vport Ad Hoc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