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510" activeTab="0"/>
  </bookViews>
  <sheets>
    <sheet name="G.652" sheetId="1" r:id="rId1"/>
    <sheet name="G.655" sheetId="2" r:id="rId2"/>
  </sheets>
  <definedNames/>
  <calcPr fullCalcOnLoad="1"/>
</workbook>
</file>

<file path=xl/sharedStrings.xml><?xml version="1.0" encoding="utf-8"?>
<sst xmlns="http://schemas.openxmlformats.org/spreadsheetml/2006/main" count="113" uniqueCount="67">
  <si>
    <t>km</t>
  </si>
  <si>
    <t>Delay ps/km</t>
  </si>
  <si>
    <t>1460 to 1550</t>
  </si>
  <si>
    <t>1550 to 1625</t>
  </si>
  <si>
    <t>Min</t>
  </si>
  <si>
    <t>Max</t>
  </si>
  <si>
    <t>skew</t>
  </si>
  <si>
    <t>distance</t>
  </si>
  <si>
    <t>skew / km</t>
  </si>
  <si>
    <t>(ps/nm.km)</t>
  </si>
  <si>
    <t>(ps/nm^2.km)</t>
  </si>
  <si>
    <t>(nm)</t>
  </si>
  <si>
    <t>(ps/km)</t>
  </si>
  <si>
    <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</si>
  <si>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</si>
  <si>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>S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</si>
  <si>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t>l</t>
  </si>
  <si>
    <r>
      <t>D</t>
    </r>
    <r>
      <rPr>
        <sz val="10"/>
        <rFont val="Arial"/>
        <family val="0"/>
      </rPr>
      <t xml:space="preserve"> max</t>
    </r>
  </si>
  <si>
    <r>
      <t>D</t>
    </r>
    <r>
      <rPr>
        <sz val="10"/>
        <rFont val="Arial"/>
        <family val="0"/>
      </rPr>
      <t xml:space="preserve"> min</t>
    </r>
  </si>
  <si>
    <t>Inputs (in bold)</t>
  </si>
  <si>
    <r>
      <t xml:space="preserve">for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</si>
  <si>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 xml:space="preserve">for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</si>
  <si>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t>Relative Delay</t>
  </si>
  <si>
    <t>ps/km</t>
  </si>
  <si>
    <r>
      <t xml:space="preserve">shortest </t>
    </r>
    <r>
      <rPr>
        <sz val="10"/>
        <rFont val="Symbol"/>
        <family val="1"/>
      </rPr>
      <t>l</t>
    </r>
  </si>
  <si>
    <r>
      <t xml:space="preserve">longest </t>
    </r>
    <r>
      <rPr>
        <sz val="10"/>
        <rFont val="Symbol"/>
        <family val="1"/>
      </rPr>
      <t>l</t>
    </r>
  </si>
  <si>
    <t>ps</t>
  </si>
  <si>
    <t>Fiber Dispersion and Relative Delay Characteristics</t>
  </si>
  <si>
    <t xml:space="preserve">Fiber type: </t>
  </si>
  <si>
    <t>System Skew from WDM Operation</t>
  </si>
  <si>
    <t>Pete Anslow</t>
  </si>
  <si>
    <t>Paul Kolesar</t>
  </si>
  <si>
    <t>ITU G.655 (D, E)</t>
  </si>
  <si>
    <t>ITU G.652 (A, B, C, D); IEC B1.1, B1.3</t>
  </si>
  <si>
    <t>ps/nm/km</t>
  </si>
  <si>
    <t>ps/nm</t>
  </si>
  <si>
    <t>Dmax / km</t>
  </si>
  <si>
    <t>Dmin / km</t>
  </si>
  <si>
    <t>Dmax</t>
  </si>
  <si>
    <t>Dispersion</t>
  </si>
  <si>
    <t>ps/nm.km</t>
  </si>
  <si>
    <t>Skew from WDM Operation</t>
  </si>
  <si>
    <t>nm</t>
  </si>
  <si>
    <t>max skew / km</t>
  </si>
  <si>
    <t>largest disp</t>
  </si>
  <si>
    <t>system skew</t>
  </si>
  <si>
    <t>system disp</t>
  </si>
  <si>
    <t>Rel Delay Offset</t>
  </si>
  <si>
    <t>System Inputs (in bold)</t>
  </si>
  <si>
    <r>
      <t xml:space="preserve">fo shortest </t>
    </r>
    <r>
      <rPr>
        <sz val="10"/>
        <rFont val="Symbol"/>
        <family val="1"/>
      </rPr>
      <t>l</t>
    </r>
  </si>
  <si>
    <r>
      <t xml:space="preserve">for longest </t>
    </r>
    <r>
      <rPr>
        <sz val="10"/>
        <rFont val="Symbol"/>
        <family val="1"/>
      </rPr>
      <t>l</t>
    </r>
  </si>
  <si>
    <r>
      <t xml:space="preserve">for shortest </t>
    </r>
    <r>
      <rPr>
        <sz val="10"/>
        <rFont val="Symbol"/>
        <family val="1"/>
      </rPr>
      <t>l</t>
    </r>
  </si>
  <si>
    <t>positive</t>
  </si>
  <si>
    <t>negative</t>
  </si>
  <si>
    <t>G.652.A&amp;B</t>
  </si>
  <si>
    <t>G.652.C&amp;D</t>
  </si>
  <si>
    <t>Loss dB/km</t>
  </si>
  <si>
    <t>min</t>
  </si>
  <si>
    <t>max</t>
  </si>
  <si>
    <t>dB/km</t>
  </si>
  <si>
    <t>dB</t>
  </si>
  <si>
    <t>V 2.0</t>
  </si>
  <si>
    <t>min atten.</t>
  </si>
  <si>
    <t>max atten.</t>
  </si>
  <si>
    <t>atten. / km</t>
  </si>
  <si>
    <t>link atten.</t>
  </si>
  <si>
    <t>Link attenuation (inc. cabling and splices)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</si>
</sst>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#&quot;km&quot;"/>
    <numFmt numFmtId="181" formatCode="&quot;Skew @&quot;\ #\ &quot;km&quot;"/>
    <numFmt numFmtId="182" formatCode="&quot;Skew @&quot;\ #\ &quot;km (ns)&quot;"/>
    <numFmt numFmtId="183" formatCode="#,##0.0"/>
    <numFmt numFmtId="184" formatCode="0.000000E+00"/>
    <numFmt numFmtId="185" formatCode="0.00000E+00"/>
    <numFmt numFmtId="186" formatCode="0.0000E+00"/>
    <numFmt numFmtId="187" formatCode="0.000E+00"/>
    <numFmt numFmtId="188" formatCode="0.0E+00"/>
    <numFmt numFmtId="189" formatCode="#,##0.000"/>
    <numFmt numFmtId="190" formatCode="0.000000"/>
    <numFmt numFmtId="191" formatCode="0.00000"/>
    <numFmt numFmtId="192" formatCode="0.0000"/>
    <numFmt numFmtId="193" formatCode="#,##0.0000"/>
    <numFmt numFmtId="194" formatCode="#,##0.000000"/>
  </numFmts>
  <fonts count="17">
    <font>
      <sz val="10"/>
      <name val="Arial"/>
      <family val="0"/>
    </font>
    <font>
      <sz val="10.2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9.7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i/>
      <sz val="10"/>
      <name val="Arial"/>
      <family val="2"/>
    </font>
    <font>
      <b/>
      <sz val="10.25"/>
      <name val="Symbol"/>
      <family val="1"/>
    </font>
    <font>
      <b/>
      <sz val="9.75"/>
      <name val="Symbol"/>
      <family val="1"/>
    </font>
    <font>
      <sz val="12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Border="1" applyAlignment="1">
      <alignment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2" fontId="0" fillId="0" borderId="9" xfId="0" applyNumberForma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2" fontId="9" fillId="0" borderId="4" xfId="0" applyNumberFormat="1" applyFont="1" applyBorder="1" applyAlignment="1">
      <alignment/>
    </xf>
    <xf numFmtId="0" fontId="0" fillId="0" borderId="5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5" xfId="0" applyFill="1" applyBorder="1" applyAlignment="1">
      <alignment horizontal="left"/>
    </xf>
    <xf numFmtId="177" fontId="0" fillId="0" borderId="0" xfId="0" applyNumberFormat="1" applyAlignment="1">
      <alignment horizontal="center"/>
    </xf>
    <xf numFmtId="177" fontId="0" fillId="0" borderId="0" xfId="0" applyNumberFormat="1" applyBorder="1" applyAlignment="1">
      <alignment/>
    </xf>
    <xf numFmtId="15" fontId="0" fillId="0" borderId="0" xfId="0" applyNumberFormat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65"/>
          <c:w val="0.906"/>
          <c:h val="0.864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'G.652'!$B$11:$B$47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'G.652'!$C$11:$C$47</c:f>
              <c:numCache/>
            </c:numRef>
          </c:yVal>
          <c:smooth val="1"/>
        </c:ser>
        <c:axId val="43683531"/>
        <c:axId val="57607460"/>
      </c:scatterChart>
      <c:valAx>
        <c:axId val="43683531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1025" b="1" i="0" u="none" baseline="0"/>
                  <a:t>l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07460"/>
        <c:crossesAt val="-10"/>
        <c:crossBetween val="midCat"/>
        <c:dispUnits/>
        <c:majorUnit val="50"/>
      </c:valAx>
      <c:valAx>
        <c:axId val="57607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Dispersion D (ps/nm.km)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6835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'G.652'!$D$11:$D$47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'G.652'!$E$11:$E$47</c:f>
              <c:numCache/>
            </c:numRef>
          </c:yVal>
          <c:smooth val="1"/>
        </c:ser>
        <c:axId val="48705093"/>
        <c:axId val="35692654"/>
      </c:scatterChart>
      <c:valAx>
        <c:axId val="48705093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75" b="1" i="0" u="none" baseline="0"/>
                  <a:t>l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92654"/>
        <c:crosses val="autoZero"/>
        <c:crossBetween val="midCat"/>
        <c:dispUnits/>
        <c:majorUnit val="50"/>
      </c:valAx>
      <c:valAx>
        <c:axId val="356926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Relative delay (ps/km)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87050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G.652.A&amp;B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74"/>
          <c:w val="0.9035"/>
          <c:h val="0.819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'G.652'!$F$11:$F$47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'G.652'!$G$11:$G$47</c:f>
              <c:numCache/>
            </c:numRef>
          </c:yVal>
          <c:smooth val="1"/>
        </c:ser>
        <c:axId val="52798431"/>
        <c:axId val="5423832"/>
      </c:scatterChart>
      <c:valAx>
        <c:axId val="52798431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75" b="1" i="0" u="none" baseline="0"/>
                  <a:t>l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3832"/>
        <c:crosses val="autoZero"/>
        <c:crossBetween val="midCat"/>
        <c:dispUnits/>
        <c:majorUnit val="50"/>
      </c:valAx>
      <c:valAx>
        <c:axId val="54238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Loss coefficient (dB/km)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27984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G.652.C&amp;D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74"/>
          <c:w val="0.90425"/>
          <c:h val="0.81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'G.652'!$H$11:$H$47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'G.652'!$I$11:$I$47</c:f>
              <c:numCache/>
            </c:numRef>
          </c:yVal>
          <c:smooth val="1"/>
        </c:ser>
        <c:axId val="48814489"/>
        <c:axId val="36677218"/>
      </c:scatterChart>
      <c:valAx>
        <c:axId val="48814489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1025" b="1" i="0" u="none" baseline="0"/>
                  <a:t>l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77218"/>
        <c:crosses val="autoZero"/>
        <c:crossBetween val="midCat"/>
        <c:dispUnits/>
        <c:majorUnit val="50"/>
      </c:valAx>
      <c:valAx>
        <c:axId val="366772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Loss coefficient (dB/km)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88144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>
                <c:ptCount val="18"/>
                <c:pt idx="0">
                  <c:v>1460</c:v>
                </c:pt>
                <c:pt idx="1">
                  <c:v>1470</c:v>
                </c:pt>
                <c:pt idx="2">
                  <c:v>1480</c:v>
                </c:pt>
                <c:pt idx="3">
                  <c:v>1490</c:v>
                </c:pt>
                <c:pt idx="4">
                  <c:v>1500</c:v>
                </c:pt>
                <c:pt idx="5">
                  <c:v>1510</c:v>
                </c:pt>
                <c:pt idx="6">
                  <c:v>1520</c:v>
                </c:pt>
                <c:pt idx="7">
                  <c:v>1530</c:v>
                </c:pt>
                <c:pt idx="8">
                  <c:v>1540</c:v>
                </c:pt>
                <c:pt idx="9">
                  <c:v>1550</c:v>
                </c:pt>
                <c:pt idx="10">
                  <c:v>1560</c:v>
                </c:pt>
                <c:pt idx="11">
                  <c:v>1570</c:v>
                </c:pt>
                <c:pt idx="12">
                  <c:v>1580</c:v>
                </c:pt>
                <c:pt idx="13">
                  <c:v>1590</c:v>
                </c:pt>
                <c:pt idx="14">
                  <c:v>1600</c:v>
                </c:pt>
                <c:pt idx="15">
                  <c:v>1610</c:v>
                </c:pt>
                <c:pt idx="16">
                  <c:v>1620</c:v>
                </c:pt>
                <c:pt idx="17">
                  <c:v>1630</c:v>
                </c:pt>
              </c:numCache>
            </c:numRef>
          </c:xVal>
          <c:yVal>
            <c:numRef>
              <c:f>'G.655'!$D$17:$D$34</c:f>
              <c:numCache>
                <c:ptCount val="18"/>
                <c:pt idx="0">
                  <c:v>4.66</c:v>
                </c:pt>
                <c:pt idx="1">
                  <c:v>5.176666666666667</c:v>
                </c:pt>
                <c:pt idx="2">
                  <c:v>5.693333333333333</c:v>
                </c:pt>
                <c:pt idx="3">
                  <c:v>6.210000000000001</c:v>
                </c:pt>
                <c:pt idx="4">
                  <c:v>6.726666666666667</c:v>
                </c:pt>
                <c:pt idx="5">
                  <c:v>7.243333333333334</c:v>
                </c:pt>
                <c:pt idx="6">
                  <c:v>7.760000000000001</c:v>
                </c:pt>
                <c:pt idx="7">
                  <c:v>8.276666666666667</c:v>
                </c:pt>
                <c:pt idx="8">
                  <c:v>8.793333333333333</c:v>
                </c:pt>
                <c:pt idx="9">
                  <c:v>9.31</c:v>
                </c:pt>
                <c:pt idx="10">
                  <c:v>9.859333333333334</c:v>
                </c:pt>
                <c:pt idx="11">
                  <c:v>10.408666666666667</c:v>
                </c:pt>
                <c:pt idx="12">
                  <c:v>10.958</c:v>
                </c:pt>
                <c:pt idx="13">
                  <c:v>11.507333333333333</c:v>
                </c:pt>
                <c:pt idx="14">
                  <c:v>12.056666666666667</c:v>
                </c:pt>
                <c:pt idx="15">
                  <c:v>12.606000000000002</c:v>
                </c:pt>
                <c:pt idx="16">
                  <c:v>13.155333333333335</c:v>
                </c:pt>
                <c:pt idx="17">
                  <c:v>13.704666666666668</c:v>
                </c:pt>
              </c:numCache>
            </c:numRef>
          </c:yVal>
          <c:smooth val="0"/>
        </c:ser>
        <c:ser>
          <c:idx val="6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>
                <c:ptCount val="18"/>
                <c:pt idx="0">
                  <c:v>1460</c:v>
                </c:pt>
                <c:pt idx="1">
                  <c:v>1470</c:v>
                </c:pt>
                <c:pt idx="2">
                  <c:v>1480</c:v>
                </c:pt>
                <c:pt idx="3">
                  <c:v>1490</c:v>
                </c:pt>
                <c:pt idx="4">
                  <c:v>1500</c:v>
                </c:pt>
                <c:pt idx="5">
                  <c:v>1510</c:v>
                </c:pt>
                <c:pt idx="6">
                  <c:v>1520</c:v>
                </c:pt>
                <c:pt idx="7">
                  <c:v>1530</c:v>
                </c:pt>
                <c:pt idx="8">
                  <c:v>1540</c:v>
                </c:pt>
                <c:pt idx="9">
                  <c:v>1550</c:v>
                </c:pt>
                <c:pt idx="10">
                  <c:v>1560</c:v>
                </c:pt>
                <c:pt idx="11">
                  <c:v>1570</c:v>
                </c:pt>
                <c:pt idx="12">
                  <c:v>1580</c:v>
                </c:pt>
                <c:pt idx="13">
                  <c:v>1590</c:v>
                </c:pt>
                <c:pt idx="14">
                  <c:v>1600</c:v>
                </c:pt>
                <c:pt idx="15">
                  <c:v>1610</c:v>
                </c:pt>
                <c:pt idx="16">
                  <c:v>1620</c:v>
                </c:pt>
                <c:pt idx="17">
                  <c:v>1630</c:v>
                </c:pt>
              </c:numCache>
            </c:numRef>
          </c:xVal>
          <c:yVal>
            <c:numRef>
              <c:f>'G.655'!$C$17:$C$34</c:f>
              <c:numCache>
                <c:ptCount val="18"/>
                <c:pt idx="0">
                  <c:v>-4.2</c:v>
                </c:pt>
                <c:pt idx="1">
                  <c:v>-3.4222222222222225</c:v>
                </c:pt>
                <c:pt idx="2">
                  <c:v>-2.644444444444445</c:v>
                </c:pt>
                <c:pt idx="3">
                  <c:v>-1.8666666666666667</c:v>
                </c:pt>
                <c:pt idx="4">
                  <c:v>-1.088888888888889</c:v>
                </c:pt>
                <c:pt idx="5">
                  <c:v>-0.31111111111111134</c:v>
                </c:pt>
                <c:pt idx="6">
                  <c:v>0.4666666666666668</c:v>
                </c:pt>
                <c:pt idx="7">
                  <c:v>1.2444444444444445</c:v>
                </c:pt>
                <c:pt idx="8">
                  <c:v>2.022222222222222</c:v>
                </c:pt>
                <c:pt idx="9">
                  <c:v>2.8</c:v>
                </c:pt>
                <c:pt idx="10">
                  <c:v>3.1959999999999997</c:v>
                </c:pt>
                <c:pt idx="11">
                  <c:v>3.5919999999999996</c:v>
                </c:pt>
                <c:pt idx="12">
                  <c:v>3.988</c:v>
                </c:pt>
                <c:pt idx="13">
                  <c:v>4.384</c:v>
                </c:pt>
                <c:pt idx="14">
                  <c:v>4.78</c:v>
                </c:pt>
                <c:pt idx="15">
                  <c:v>5.176</c:v>
                </c:pt>
                <c:pt idx="16">
                  <c:v>5.572</c:v>
                </c:pt>
                <c:pt idx="17">
                  <c:v>5.968</c:v>
                </c:pt>
              </c:numCache>
            </c:numRef>
          </c:yVal>
          <c:smooth val="0"/>
        </c:ser>
        <c:axId val="61659507"/>
        <c:axId val="18064652"/>
      </c:scatterChart>
      <c:valAx>
        <c:axId val="61659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64652"/>
        <c:crossesAt val="-6"/>
        <c:crossBetween val="midCat"/>
        <c:dispUnits/>
      </c:valAx>
      <c:valAx>
        <c:axId val="18064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Dispersion coefficient (ps/nm/km)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6595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>
                <c:ptCount val="18"/>
                <c:pt idx="0">
                  <c:v>1460</c:v>
                </c:pt>
                <c:pt idx="1">
                  <c:v>1470</c:v>
                </c:pt>
                <c:pt idx="2">
                  <c:v>1480</c:v>
                </c:pt>
                <c:pt idx="3">
                  <c:v>1490</c:v>
                </c:pt>
                <c:pt idx="4">
                  <c:v>1500</c:v>
                </c:pt>
                <c:pt idx="5">
                  <c:v>1510</c:v>
                </c:pt>
                <c:pt idx="6">
                  <c:v>1520</c:v>
                </c:pt>
                <c:pt idx="7">
                  <c:v>1530</c:v>
                </c:pt>
                <c:pt idx="8">
                  <c:v>1540</c:v>
                </c:pt>
                <c:pt idx="9">
                  <c:v>1550</c:v>
                </c:pt>
                <c:pt idx="10">
                  <c:v>1560</c:v>
                </c:pt>
                <c:pt idx="11">
                  <c:v>1570</c:v>
                </c:pt>
                <c:pt idx="12">
                  <c:v>1580</c:v>
                </c:pt>
                <c:pt idx="13">
                  <c:v>1590</c:v>
                </c:pt>
                <c:pt idx="14">
                  <c:v>1600</c:v>
                </c:pt>
                <c:pt idx="15">
                  <c:v>1610</c:v>
                </c:pt>
                <c:pt idx="16">
                  <c:v>1620</c:v>
                </c:pt>
                <c:pt idx="17">
                  <c:v>1630</c:v>
                </c:pt>
              </c:numCache>
            </c:numRef>
          </c:xVal>
          <c:yVal>
            <c:numRef>
              <c:f>'G.655'!$E$17:$E$34</c:f>
              <c:numCache>
                <c:ptCount val="18"/>
                <c:pt idx="0">
                  <c:v>-3.3396645449101925E-09</c:v>
                </c:pt>
                <c:pt idx="1">
                  <c:v>49.18333332998736</c:v>
                </c:pt>
                <c:pt idx="2">
                  <c:v>103.53333333000046</c:v>
                </c:pt>
                <c:pt idx="3">
                  <c:v>163.04999999666325</c:v>
                </c:pt>
                <c:pt idx="4">
                  <c:v>227.73333332999027</c:v>
                </c:pt>
                <c:pt idx="5">
                  <c:v>297.58333333000337</c:v>
                </c:pt>
                <c:pt idx="6">
                  <c:v>372.59999999666616</c:v>
                </c:pt>
                <c:pt idx="7">
                  <c:v>452.7833333299932</c:v>
                </c:pt>
                <c:pt idx="8">
                  <c:v>538.1333333299917</c:v>
                </c:pt>
                <c:pt idx="9">
                  <c:v>628.6499999873413</c:v>
                </c:pt>
                <c:pt idx="10">
                  <c:v>724.4966666540204</c:v>
                </c:pt>
                <c:pt idx="11">
                  <c:v>825.8366666540169</c:v>
                </c:pt>
                <c:pt idx="12">
                  <c:v>932.6699999873454</c:v>
                </c:pt>
                <c:pt idx="13">
                  <c:v>1044.9966666540058</c:v>
                </c:pt>
                <c:pt idx="14">
                  <c:v>1162.8166666540128</c:v>
                </c:pt>
                <c:pt idx="15">
                  <c:v>1286.1299999873372</c:v>
                </c:pt>
                <c:pt idx="16">
                  <c:v>1414.9366666540081</c:v>
                </c:pt>
                <c:pt idx="17">
                  <c:v>1549.236666654011</c:v>
                </c:pt>
              </c:numCache>
            </c:numRef>
          </c:yVal>
          <c:smooth val="1"/>
        </c:ser>
        <c:axId val="28364141"/>
        <c:axId val="53950678"/>
      </c:scatterChart>
      <c:valAx>
        <c:axId val="28364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50678"/>
        <c:crosses val="autoZero"/>
        <c:crossBetween val="midCat"/>
        <c:dispUnits/>
      </c:valAx>
      <c:valAx>
        <c:axId val="539506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Relative delay (ps/km)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3641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8.wmf" /><Relationship Id="rId6" Type="http://schemas.openxmlformats.org/officeDocument/2006/relationships/image" Target="../media/image9.wmf" /><Relationship Id="rId7" Type="http://schemas.openxmlformats.org/officeDocument/2006/relationships/image" Target="../media/image7.wmf" /><Relationship Id="rId8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466725</xdr:colOff>
      <xdr:row>14</xdr:row>
      <xdr:rowOff>9525</xdr:rowOff>
    </xdr:from>
    <xdr:to>
      <xdr:col>25</xdr:col>
      <xdr:colOff>133350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0953750" y="2476500"/>
        <a:ext cx="47339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238125</xdr:colOff>
      <xdr:row>13</xdr:row>
      <xdr:rowOff>152400</xdr:rowOff>
    </xdr:from>
    <xdr:to>
      <xdr:col>17</xdr:col>
      <xdr:colOff>47625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5991225" y="2457450"/>
        <a:ext cx="45434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257175</xdr:colOff>
      <xdr:row>33</xdr:row>
      <xdr:rowOff>114300</xdr:rowOff>
    </xdr:from>
    <xdr:to>
      <xdr:col>17</xdr:col>
      <xdr:colOff>66675</xdr:colOff>
      <xdr:row>52</xdr:row>
      <xdr:rowOff>152400</xdr:rowOff>
    </xdr:to>
    <xdr:graphicFrame>
      <xdr:nvGraphicFramePr>
        <xdr:cNvPr id="3" name="Chart 7"/>
        <xdr:cNvGraphicFramePr/>
      </xdr:nvGraphicFramePr>
      <xdr:xfrm>
        <a:off x="6010275" y="5686425"/>
        <a:ext cx="454342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457200</xdr:colOff>
      <xdr:row>33</xdr:row>
      <xdr:rowOff>114300</xdr:rowOff>
    </xdr:from>
    <xdr:to>
      <xdr:col>25</xdr:col>
      <xdr:colOff>123825</xdr:colOff>
      <xdr:row>52</xdr:row>
      <xdr:rowOff>152400</xdr:rowOff>
    </xdr:to>
    <xdr:graphicFrame>
      <xdr:nvGraphicFramePr>
        <xdr:cNvPr id="4" name="Chart 8"/>
        <xdr:cNvGraphicFramePr/>
      </xdr:nvGraphicFramePr>
      <xdr:xfrm>
        <a:off x="10944225" y="5686425"/>
        <a:ext cx="4733925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36</xdr:row>
      <xdr:rowOff>19050</xdr:rowOff>
    </xdr:from>
    <xdr:to>
      <xdr:col>7</xdr:col>
      <xdr:colOff>561975</xdr:colOff>
      <xdr:row>54</xdr:row>
      <xdr:rowOff>95250</xdr:rowOff>
    </xdr:to>
    <xdr:graphicFrame>
      <xdr:nvGraphicFramePr>
        <xdr:cNvPr id="1" name="Chart 11"/>
        <xdr:cNvGraphicFramePr/>
      </xdr:nvGraphicFramePr>
      <xdr:xfrm>
        <a:off x="838200" y="5886450"/>
        <a:ext cx="43815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36</xdr:row>
      <xdr:rowOff>0</xdr:rowOff>
    </xdr:from>
    <xdr:to>
      <xdr:col>15</xdr:col>
      <xdr:colOff>133350</xdr:colOff>
      <xdr:row>54</xdr:row>
      <xdr:rowOff>123825</xdr:rowOff>
    </xdr:to>
    <xdr:graphicFrame>
      <xdr:nvGraphicFramePr>
        <xdr:cNvPr id="2" name="Chart 17"/>
        <xdr:cNvGraphicFramePr/>
      </xdr:nvGraphicFramePr>
      <xdr:xfrm>
        <a:off x="5486400" y="5867400"/>
        <a:ext cx="44481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="75" zoomScaleNormal="75" workbookViewId="0" topLeftCell="F1">
      <selection activeCell="H4" sqref="H4"/>
    </sheetView>
  </sheetViews>
  <sheetFormatPr defaultColWidth="9.140625" defaultRowHeight="12.75"/>
  <cols>
    <col min="1" max="1" width="6.7109375" style="0" customWidth="1"/>
    <col min="2" max="2" width="10.57421875" style="0" customWidth="1"/>
    <col min="3" max="3" width="10.7109375" style="0" customWidth="1"/>
    <col min="4" max="4" width="11.28125" style="0" customWidth="1"/>
    <col min="5" max="5" width="10.140625" style="0" customWidth="1"/>
    <col min="8" max="8" width="9.421875" style="0" bestFit="1" customWidth="1"/>
    <col min="11" max="11" width="4.7109375" style="0" customWidth="1"/>
    <col min="12" max="12" width="11.7109375" style="0" customWidth="1"/>
    <col min="15" max="15" width="7.00390625" style="0" customWidth="1"/>
    <col min="16" max="16" width="11.00390625" style="0" customWidth="1"/>
    <col min="20" max="20" width="12.00390625" style="0" customWidth="1"/>
  </cols>
  <sheetData>
    <row r="1" spans="1:25" ht="15">
      <c r="A1" s="55" t="s">
        <v>27</v>
      </c>
      <c r="B1" s="55"/>
      <c r="C1" s="55"/>
      <c r="D1" s="55"/>
      <c r="E1" s="55"/>
      <c r="F1" s="55"/>
      <c r="G1" t="s">
        <v>30</v>
      </c>
      <c r="I1" s="51" t="s">
        <v>48</v>
      </c>
      <c r="J1" s="52"/>
      <c r="K1" s="53"/>
      <c r="L1" s="60" t="s">
        <v>41</v>
      </c>
      <c r="M1" s="61"/>
      <c r="N1" s="61"/>
      <c r="O1" s="62"/>
      <c r="P1" s="60" t="s">
        <v>39</v>
      </c>
      <c r="Q1" s="61"/>
      <c r="R1" s="61"/>
      <c r="S1" s="62"/>
      <c r="T1" s="58" t="s">
        <v>66</v>
      </c>
      <c r="U1" s="49"/>
      <c r="V1" s="49"/>
      <c r="W1" s="49"/>
      <c r="X1" s="49"/>
      <c r="Y1" s="59"/>
    </row>
    <row r="2" spans="2:25" ht="12.75">
      <c r="B2" t="s">
        <v>28</v>
      </c>
      <c r="C2" s="12" t="s">
        <v>33</v>
      </c>
      <c r="D2" s="1"/>
      <c r="G2" t="s">
        <v>31</v>
      </c>
      <c r="I2" s="27"/>
      <c r="J2" s="14"/>
      <c r="K2" s="14"/>
      <c r="L2" s="13"/>
      <c r="M2" s="50" t="s">
        <v>22</v>
      </c>
      <c r="N2" s="50"/>
      <c r="O2" s="15"/>
      <c r="P2" s="13"/>
      <c r="Q2" s="50" t="s">
        <v>39</v>
      </c>
      <c r="R2" s="50"/>
      <c r="S2" s="15"/>
      <c r="T2" s="13"/>
      <c r="U2" s="54" t="s">
        <v>54</v>
      </c>
      <c r="V2" s="54"/>
      <c r="W2" s="54" t="s">
        <v>55</v>
      </c>
      <c r="X2" s="54"/>
      <c r="Y2" s="15"/>
    </row>
    <row r="3" spans="2:25" ht="15.75">
      <c r="B3" s="36"/>
      <c r="C3" s="37"/>
      <c r="D3" s="37"/>
      <c r="G3" t="s">
        <v>61</v>
      </c>
      <c r="H3" s="48">
        <v>39148</v>
      </c>
      <c r="I3" s="13"/>
      <c r="J3" s="9"/>
      <c r="K3" s="14"/>
      <c r="L3" s="13"/>
      <c r="M3" s="9" t="s">
        <v>20</v>
      </c>
      <c r="N3" s="9" t="s">
        <v>21</v>
      </c>
      <c r="O3" s="15"/>
      <c r="P3" s="13"/>
      <c r="Q3" s="9" t="s">
        <v>20</v>
      </c>
      <c r="R3" s="9" t="s">
        <v>21</v>
      </c>
      <c r="S3" s="15"/>
      <c r="T3" s="13"/>
      <c r="U3" s="9" t="s">
        <v>62</v>
      </c>
      <c r="V3" s="9" t="s">
        <v>63</v>
      </c>
      <c r="W3" s="9" t="s">
        <v>62</v>
      </c>
      <c r="X3" s="9" t="s">
        <v>63</v>
      </c>
      <c r="Y3" s="15"/>
    </row>
    <row r="4" spans="2:25" ht="15.75">
      <c r="B4" s="33" t="s">
        <v>14</v>
      </c>
      <c r="C4" s="34" t="s">
        <v>13</v>
      </c>
      <c r="D4" s="35" t="s">
        <v>15</v>
      </c>
      <c r="F4" s="56" t="s">
        <v>47</v>
      </c>
      <c r="G4" s="57"/>
      <c r="H4" s="38"/>
      <c r="I4" s="16" t="s">
        <v>24</v>
      </c>
      <c r="J4" s="17">
        <v>1269</v>
      </c>
      <c r="K4" s="14" t="s">
        <v>42</v>
      </c>
      <c r="L4" s="16" t="s">
        <v>49</v>
      </c>
      <c r="M4" s="18">
        <f>$D$6/8*$J4^2*(1+B$6^4*$J4^-4)-F$6</f>
        <v>45.78479917336517</v>
      </c>
      <c r="N4" s="18">
        <f>$D$6/8*$J4^2*(1+C$6^4*$J4^-4)-G$6</f>
        <v>146.8250406993393</v>
      </c>
      <c r="O4" s="15" t="s">
        <v>23</v>
      </c>
      <c r="P4" s="16" t="s">
        <v>51</v>
      </c>
      <c r="Q4" s="18">
        <f>$D$6/4*$J4*(1-B$6^4*$J4^-4)</f>
        <v>-2.9903728119359605</v>
      </c>
      <c r="R4" s="18">
        <f>$D$6/4*$J4*(1-C$6^4*$J4^-4)</f>
        <v>-5.457247897083274</v>
      </c>
      <c r="S4" s="15" t="s">
        <v>40</v>
      </c>
      <c r="T4" s="16" t="s">
        <v>51</v>
      </c>
      <c r="U4" s="46">
        <f>IF(J4&lt;1260,"-",IF(J4&lt;1360.1,59.375*(J4/1000)^3-230*(J4/1000)^2+295.861*J4/1000-125.999,IF(J4&lt;1420,"-",IF(J4&lt;1620.1,2.3291*(J4/1000)^2-7.4157*J4/1000+6.1057+0.005,"-"))))</f>
        <v>0.40124797187507966</v>
      </c>
      <c r="V4" s="46">
        <f>IF(J4&lt;1260,"-",IF(J4&lt;1360.1,292.7083*(J4/1000)^3-1125*(J4/1000)^2+1439.8879*J4/1000-613.2575,IF(J4&lt;1420,"-",IF(J4&lt;1620.1,514.56309*(J4/1000)^4-3182.08679*(J4/1000)^3+7381.08328*(J4/1000)^2-7611.29567*J4/1000+2944.36519,"-"))))</f>
        <v>0.4676130536048504</v>
      </c>
      <c r="W4" s="46">
        <f>IF(J4&lt;1260,"-",IF(J4&lt;1620.1,1665.83816*(J4/1000)^6-14730.48652*(J4/1000)^5+54203.64404*(J4/1000)^4-106226.86668*(J4/1000)^3+116929.10988*(J4/1000)^2-68539.98456*J4/1000+16714.12368+0.005,"-"))</f>
        <v>0.39828313131045434</v>
      </c>
      <c r="X4" s="46">
        <f>IF(J4&lt;1260,"-",IF(J4&lt;1620.1,2128.42748*(J4/1000)^6-18654.31479*(J4/1000)^5+68042.65252*(J4/1000)^4-132203.97141*(J4/1000)^3+144300.34102*(J4/1000)^2-83889.61937*J4/1000+20293.51281,"-"))</f>
        <v>0.46132361925265286</v>
      </c>
      <c r="Y4" s="15" t="s">
        <v>59</v>
      </c>
    </row>
    <row r="5" spans="2:25" ht="15.75">
      <c r="B5" s="8" t="s">
        <v>11</v>
      </c>
      <c r="C5" s="9" t="s">
        <v>11</v>
      </c>
      <c r="D5" s="10" t="s">
        <v>10</v>
      </c>
      <c r="F5" s="8" t="s">
        <v>20</v>
      </c>
      <c r="G5" s="9" t="s">
        <v>21</v>
      </c>
      <c r="H5" s="15"/>
      <c r="I5" s="16" t="s">
        <v>25</v>
      </c>
      <c r="J5" s="17">
        <v>1355.9</v>
      </c>
      <c r="K5" s="14" t="s">
        <v>42</v>
      </c>
      <c r="L5" s="16" t="s">
        <v>50</v>
      </c>
      <c r="M5" s="18">
        <f>$D$6/8*$J5^2*(1+B$6^4*$J5^-4)-F$6</f>
        <v>139.37494010119553</v>
      </c>
      <c r="N5" s="18">
        <f>$D$6/8*$J5^2*(1+C$6^4*$J5^-4)-G$6</f>
        <v>46.21215098720131</v>
      </c>
      <c r="O5" s="15" t="s">
        <v>23</v>
      </c>
      <c r="P5" s="16" t="s">
        <v>50</v>
      </c>
      <c r="Q5" s="18">
        <f>$D$6/4*$J5*(1-B$6^4*$J5^-4)</f>
        <v>4.885953082673962</v>
      </c>
      <c r="R5" s="18">
        <f>$D$6/4*$J5*(1-C$6^4*$J5^-4)</f>
        <v>2.8636369666093393</v>
      </c>
      <c r="S5" s="15" t="s">
        <v>40</v>
      </c>
      <c r="T5" s="16" t="s">
        <v>50</v>
      </c>
      <c r="U5" s="46">
        <f>IF(J5&lt;1260,"-",IF(J5&lt;1360.1,59.375*(J5/1000)^3-230*(J5/1000)^2+295.861*J5/1000-125.999,IF(J5&lt;1420,"-",IF(J5&lt;1620.1,2.3291*(J5/1000)^2-7.4157*J5/1000+6.1057+0.005,"-"))))</f>
        <v>0.3205057303156025</v>
      </c>
      <c r="V5" s="46">
        <f>IF(J5&lt;1260,"-",IF(J5&lt;1360.1,292.7083*(J5/1000)^3-1125*(J5/1000)^2+1439.8879*J5/1000-613.2575,IF(J5&lt;1420,"-",IF(J5&lt;1620.1,514.56309*(J5/1000)^4-3182.08679*(J5/1000)^3+7381.08328*(J5/1000)^2-7611.29567*J5/1000+2944.36519,"-"))))</f>
        <v>0.469359769601283</v>
      </c>
      <c r="W5" s="46">
        <f>IF(J5&lt;1260,"-",IF(J5&lt;1620.1,1665.83816*(J5/1000)^6-14730.48652*(J5/1000)^5+54203.64404*(J5/1000)^4-106226.86668*(J5/1000)^3+116929.10988*(J5/1000)^2-68539.98456*J5/1000+16714.12368+0.005,"-"))</f>
        <v>0.3298908129571646</v>
      </c>
      <c r="X5" s="46">
        <f>IF(J5&lt;1260,"-",IF(J5&lt;1620.1,2128.42748*(J5/1000)^6-18654.31479*(J5/1000)^5+68042.65252*(J5/1000)^4-132203.97141*(J5/1000)^3+144300.34102*(J5/1000)^2-83889.61937*J5/1000+20293.51281,"-"))</f>
        <v>0.39159898247453384</v>
      </c>
      <c r="Y5" s="15" t="s">
        <v>59</v>
      </c>
    </row>
    <row r="6" spans="2:25" ht="12.75">
      <c r="B6" s="24">
        <v>1300</v>
      </c>
      <c r="C6" s="25">
        <v>1324</v>
      </c>
      <c r="D6" s="26">
        <v>0.093</v>
      </c>
      <c r="F6" s="43">
        <f>$D6/8*B6^2*(1+B6^4*B6^-4)</f>
        <v>39292.5</v>
      </c>
      <c r="G6" s="44">
        <f>$D6/8*C6^2*(1+C6^4*C6^-4)</f>
        <v>40756.692</v>
      </c>
      <c r="H6" s="45" t="s">
        <v>23</v>
      </c>
      <c r="I6" s="21" t="s">
        <v>7</v>
      </c>
      <c r="J6" s="39">
        <v>10</v>
      </c>
      <c r="K6" s="22" t="s">
        <v>0</v>
      </c>
      <c r="L6" s="13"/>
      <c r="M6" s="14"/>
      <c r="N6" s="14"/>
      <c r="O6" s="15"/>
      <c r="P6" s="13"/>
      <c r="Q6" s="9" t="s">
        <v>52</v>
      </c>
      <c r="R6" s="9" t="s">
        <v>53</v>
      </c>
      <c r="S6" s="15"/>
      <c r="T6" s="13"/>
      <c r="U6" s="9" t="s">
        <v>57</v>
      </c>
      <c r="V6" s="9" t="s">
        <v>58</v>
      </c>
      <c r="W6" s="9" t="s">
        <v>57</v>
      </c>
      <c r="X6" s="9" t="s">
        <v>58</v>
      </c>
      <c r="Y6" s="15"/>
    </row>
    <row r="7" spans="6:25" ht="13.5" thickBot="1">
      <c r="F7" s="11"/>
      <c r="L7" s="13" t="s">
        <v>43</v>
      </c>
      <c r="M7" s="19">
        <f>IF(OR(MAX(J4,J5)&lt;$B$6,MIN(J4,J5)&gt;$C$6),ABS(M5-M4),MAX(M5,M4))</f>
        <v>139.37494010119553</v>
      </c>
      <c r="N7" s="19">
        <f>IF(OR(MAX(J4,J5)&lt;$B$6,MIN(J4,J5)&gt;$C$6),ABS(N5-N4),MAX(N5,N4))</f>
        <v>146.8250406993393</v>
      </c>
      <c r="O7" s="15" t="s">
        <v>23</v>
      </c>
      <c r="P7" s="13" t="s">
        <v>44</v>
      </c>
      <c r="Q7" s="19">
        <f>MAX(Q4:R5,0)</f>
        <v>4.885953082673962</v>
      </c>
      <c r="R7" s="19">
        <f>MIN(Q4:R5,0)</f>
        <v>-5.457247897083274</v>
      </c>
      <c r="S7" s="15" t="s">
        <v>40</v>
      </c>
      <c r="T7" s="13" t="s">
        <v>64</v>
      </c>
      <c r="U7" s="47">
        <f>MIN(U4:U5)</f>
        <v>0.3205057303156025</v>
      </c>
      <c r="V7" s="47">
        <f>MAX(V4:V5)</f>
        <v>0.469359769601283</v>
      </c>
      <c r="W7" s="47">
        <f>MIN(W4:W5)</f>
        <v>0.3298908129571646</v>
      </c>
      <c r="X7" s="47">
        <f>MAX(X4:X5)</f>
        <v>0.46132361925265286</v>
      </c>
      <c r="Y7" s="15" t="s">
        <v>59</v>
      </c>
    </row>
    <row r="8" spans="1:25" ht="13.5" thickBot="1">
      <c r="A8" s="6" t="s">
        <v>16</v>
      </c>
      <c r="B8" s="7" t="s">
        <v>17</v>
      </c>
      <c r="C8" s="7" t="s">
        <v>18</v>
      </c>
      <c r="D8" s="54" t="s">
        <v>22</v>
      </c>
      <c r="E8" s="54"/>
      <c r="F8" s="54" t="s">
        <v>56</v>
      </c>
      <c r="G8" s="54"/>
      <c r="H8" s="54"/>
      <c r="I8" s="54"/>
      <c r="L8" s="21" t="s">
        <v>45</v>
      </c>
      <c r="M8" s="41">
        <f>M7*J6</f>
        <v>1393.7494010119553</v>
      </c>
      <c r="N8" s="42">
        <f>N7*J6</f>
        <v>1468.250406993393</v>
      </c>
      <c r="O8" s="23" t="s">
        <v>26</v>
      </c>
      <c r="P8" s="21" t="s">
        <v>46</v>
      </c>
      <c r="Q8" s="41">
        <f>$J6*Q7</f>
        <v>48.859530826739615</v>
      </c>
      <c r="R8" s="42">
        <f>$J6*R7</f>
        <v>-54.57247897083274</v>
      </c>
      <c r="S8" s="40" t="s">
        <v>35</v>
      </c>
      <c r="T8" s="21" t="s">
        <v>65</v>
      </c>
      <c r="U8" s="41">
        <f>$J6*U7</f>
        <v>3.2050573031560248</v>
      </c>
      <c r="V8" s="41">
        <f>$J6*V7</f>
        <v>4.69359769601283</v>
      </c>
      <c r="W8" s="41">
        <f>$J6*W7</f>
        <v>3.298908129571646</v>
      </c>
      <c r="X8" s="41">
        <f>$J6*X7</f>
        <v>4.613236192526529</v>
      </c>
      <c r="Y8" s="40" t="s">
        <v>60</v>
      </c>
    </row>
    <row r="9" spans="1:9" ht="12.75">
      <c r="A9" s="1" t="s">
        <v>11</v>
      </c>
      <c r="B9" s="1" t="s">
        <v>9</v>
      </c>
      <c r="C9" s="1" t="s">
        <v>9</v>
      </c>
      <c r="D9" s="54" t="s">
        <v>12</v>
      </c>
      <c r="E9" s="54"/>
      <c r="F9" s="54" t="s">
        <v>54</v>
      </c>
      <c r="G9" s="54"/>
      <c r="H9" s="54" t="s">
        <v>55</v>
      </c>
      <c r="I9" s="54"/>
    </row>
    <row r="10" spans="1:9" ht="15.75">
      <c r="A10" s="1"/>
      <c r="B10" s="1"/>
      <c r="C10" s="1"/>
      <c r="D10" s="1" t="s">
        <v>20</v>
      </c>
      <c r="E10" s="1" t="s">
        <v>21</v>
      </c>
      <c r="F10" s="1" t="s">
        <v>57</v>
      </c>
      <c r="G10" s="1" t="s">
        <v>58</v>
      </c>
      <c r="H10" s="1" t="s">
        <v>57</v>
      </c>
      <c r="I10" s="1" t="s">
        <v>58</v>
      </c>
    </row>
    <row r="11" spans="1:10" ht="12.75">
      <c r="A11">
        <v>1260</v>
      </c>
      <c r="B11" s="3">
        <f aca="true" t="shared" si="0" ref="B11:B47">D$6/4*(A11-(B$6^4/A11^3))</f>
        <v>-3.9009216667266546</v>
      </c>
      <c r="C11" s="3">
        <f aca="true" t="shared" si="1" ref="C11:C47">D$6/4*(A11-(C$6^4/A11^3))</f>
        <v>-6.421036842769561</v>
      </c>
      <c r="D11" s="5">
        <f aca="true" t="shared" si="2" ref="D11:D47">$D$6/8*$A11^2*(1+B$6^4*$A11^-4)-F$6</f>
        <v>76.78065003778465</v>
      </c>
      <c r="E11" s="5">
        <f aca="true" t="shared" si="3" ref="E11:E47">$D$6/8*$A11^2*(1+C$6^4*$A11^-4)-G$6</f>
        <v>200.2612109448164</v>
      </c>
      <c r="F11" s="46">
        <f>IF(A11&lt;1260,"-",IF(A11&lt;1360.1,59.375*(A11/1000)^3-230*(A11/1000)^2+295.861*A11/1000-125.999,IF(A11&lt;1420,"-",IF(A11&lt;1620.1,2.3291*(A11/1000)^2-7.4157*A11/1000+6.1057+0.005,"-"))))</f>
        <v>0.41018499999998426</v>
      </c>
      <c r="G11" s="46">
        <f>IF(A11&lt;1260,"-",IF(A11&lt;1360.1,292.7083*(A11/1000)^3-1125*(A11/1000)^2+1439.8879*A11/1000-613.2575,IF(A11&lt;1420,"-",IF(A11&lt;1620.1,514.56309*(A11/1000)^4-3182.08679*(A11/1000)^3+7381.08328*(A11/1000)^2-7611.29567*A11/1000+2944.36519,"-"))))</f>
        <v>0.4779123207996463</v>
      </c>
      <c r="H11" s="46">
        <f>IF(A11&lt;1260,"-",IF(A11&lt;1620.1,1665.83816*(A11/1000)^6-14730.48652*(A11/1000)^5+54203.64404*(A11/1000)^4-106226.86668*(A11/1000)^3+116929.10988*(A11/1000)^2-68539.98456*A11/1000+16714.12368+0.005,"-"))</f>
        <v>0.41513374479007326</v>
      </c>
      <c r="I11" s="46">
        <f>IF(A11&lt;1260,"-",IF(A11&lt;1620.1,2128.42748*(A11/1000)^6-18654.31479*(A11/1000)^5+68042.65252*(A11/1000)^4-132203.97141*(A11/1000)^3+144300.34102*(A11/1000)^2-83889.61937*A11/1000+20293.51281,"-"))</f>
        <v>0.47812408980098553</v>
      </c>
      <c r="J11" s="14"/>
    </row>
    <row r="12" spans="1:9" ht="12.75">
      <c r="A12">
        <v>1270</v>
      </c>
      <c r="B12" s="3">
        <f t="shared" si="0"/>
        <v>-2.8904242846674655</v>
      </c>
      <c r="C12" s="3">
        <f t="shared" si="1"/>
        <v>-5.351476693026644</v>
      </c>
      <c r="D12" s="5">
        <f t="shared" si="2"/>
        <v>42.84442076384585</v>
      </c>
      <c r="E12" s="5">
        <f t="shared" si="3"/>
        <v>141.42070007192524</v>
      </c>
      <c r="F12" s="46">
        <f aca="true" t="shared" si="4" ref="F12:F47">IF(A12&lt;1260,"-",IF(A12&lt;1360.1,59.375*(A12/1000)^3-230*(A12/1000)^2+295.861*A12/1000-125.999,IF(A12&lt;1420,"-",IF(A12&lt;1620.1,2.3291*(A12/1000)^2-7.4157*A12/1000+6.1057+0.005,"-"))))</f>
        <v>0.4002106249999713</v>
      </c>
      <c r="G12" s="46">
        <f aca="true" t="shared" si="5" ref="G12:G47">IF(A12&lt;1260,"-",IF(A12&lt;1360.1,292.7083*(A12/1000)^3-1125*(A12/1000)^2+1439.8879*A12/1000-613.2575,IF(A12&lt;1420,"-",IF(A12&lt;1620.1,514.56309*(A12/1000)^4-3182.08679*(A12/1000)^3+7381.08328*(A12/1000)^2-7611.29567*A12/1000+2944.36519,"-"))))</f>
        <v>0.4663386788996604</v>
      </c>
      <c r="H12" s="46">
        <f aca="true" t="shared" si="6" ref="H12:H47">IF(A12&lt;1260,"-",IF(A12&lt;1620.1,1665.83816*(A12/1000)^6-14730.48652*(A12/1000)^5+54203.64404*(A12/1000)^4-106226.86668*(A12/1000)^3+116929.10988*(A12/1000)^2-68539.98456*A12/1000+16714.12368+0.005,"-"))</f>
        <v>0.3966569894026907</v>
      </c>
      <c r="I12" s="46">
        <f aca="true" t="shared" si="7" ref="I12:I47">IF(A12&lt;1260,"-",IF(A12&lt;1620.1,2128.42748*(A12/1000)^6-18654.31479*(A12/1000)^5+68042.65252*(A12/1000)^4-132203.97141*(A12/1000)^3+144300.34102*(A12/1000)^2-83889.61937*A12/1000+20293.51281,"-"))</f>
        <v>0.4597051228338387</v>
      </c>
    </row>
    <row r="13" spans="1:15" ht="12.75">
      <c r="A13">
        <v>1280</v>
      </c>
      <c r="B13" s="3">
        <f t="shared" si="0"/>
        <v>-1.9040496253967285</v>
      </c>
      <c r="C13" s="3">
        <f t="shared" si="1"/>
        <v>-4.307870576568606</v>
      </c>
      <c r="D13" s="5">
        <f t="shared" si="2"/>
        <v>18.891760253907705</v>
      </c>
      <c r="E13" s="5">
        <f t="shared" si="3"/>
        <v>93.14516900390299</v>
      </c>
      <c r="F13" s="46">
        <f t="shared" si="4"/>
        <v>0.38947999999999183</v>
      </c>
      <c r="G13" s="46">
        <f t="shared" si="5"/>
        <v>0.4528087615998402</v>
      </c>
      <c r="H13" s="46">
        <f t="shared" si="6"/>
        <v>0.38262788426698535</v>
      </c>
      <c r="I13" s="46">
        <f t="shared" si="7"/>
        <v>0.4457503817830002</v>
      </c>
      <c r="J13" s="14"/>
      <c r="K13" s="14"/>
      <c r="L13" s="14"/>
      <c r="M13" s="19"/>
      <c r="N13" s="19"/>
      <c r="O13" s="14"/>
    </row>
    <row r="14" spans="1:15" ht="12.75">
      <c r="A14">
        <v>1290</v>
      </c>
      <c r="B14" s="3">
        <f t="shared" si="0"/>
        <v>-0.9408699478592394</v>
      </c>
      <c r="C14" s="3">
        <f t="shared" si="1"/>
        <v>-3.289220321570569</v>
      </c>
      <c r="D14" s="5">
        <f t="shared" si="2"/>
        <v>4.686116369208321</v>
      </c>
      <c r="E14" s="5">
        <f t="shared" si="3"/>
        <v>55.18010741300532</v>
      </c>
      <c r="F14" s="46">
        <f t="shared" si="4"/>
        <v>0.37834937499994226</v>
      </c>
      <c r="G14" s="46">
        <f t="shared" si="5"/>
        <v>0.4390788186996133</v>
      </c>
      <c r="H14" s="46">
        <f t="shared" si="6"/>
        <v>0.3718672360618075</v>
      </c>
      <c r="I14" s="46">
        <f t="shared" si="7"/>
        <v>0.4350262318184832</v>
      </c>
      <c r="J14" s="14"/>
      <c r="K14" s="14"/>
      <c r="L14" s="14"/>
      <c r="M14" s="14"/>
      <c r="N14" s="14"/>
      <c r="O14" s="14"/>
    </row>
    <row r="15" spans="1:9" ht="12.75">
      <c r="A15">
        <v>1300</v>
      </c>
      <c r="B15" s="3">
        <f t="shared" si="0"/>
        <v>0</v>
      </c>
      <c r="C15" s="3">
        <f t="shared" si="1"/>
        <v>-2.2945734708202075</v>
      </c>
      <c r="D15" s="5">
        <f t="shared" si="2"/>
        <v>0</v>
      </c>
      <c r="E15" s="5">
        <f t="shared" si="3"/>
        <v>27.28075603313482</v>
      </c>
      <c r="F15" s="46">
        <f t="shared" si="4"/>
        <v>0.36717500000000314</v>
      </c>
      <c r="G15" s="46">
        <f t="shared" si="5"/>
        <v>0.42690509999999904</v>
      </c>
      <c r="H15" s="46">
        <f t="shared" si="6"/>
        <v>0.36340441178515903</v>
      </c>
      <c r="I15" s="46">
        <f t="shared" si="7"/>
        <v>0.42653047863859683</v>
      </c>
    </row>
    <row r="16" spans="1:9" ht="12.75">
      <c r="A16">
        <v>1310</v>
      </c>
      <c r="B16" s="3">
        <f t="shared" si="0"/>
        <v>0.9194052342632053</v>
      </c>
      <c r="C16" s="3">
        <f t="shared" si="1"/>
        <v>-1.323020857648557</v>
      </c>
      <c r="D16" s="5">
        <f t="shared" si="2"/>
        <v>4.614571557598538</v>
      </c>
      <c r="E16" s="5">
        <f t="shared" si="3"/>
        <v>9.211661759800336</v>
      </c>
      <c r="F16" s="46">
        <f t="shared" si="4"/>
        <v>0.35631312499995715</v>
      </c>
      <c r="G16" s="46">
        <f t="shared" si="5"/>
        <v>0.418043855299743</v>
      </c>
      <c r="H16" s="46">
        <f t="shared" si="6"/>
        <v>0.35645469670169405</v>
      </c>
      <c r="I16" s="46">
        <f t="shared" si="7"/>
        <v>0.41946543895755894</v>
      </c>
    </row>
    <row r="17" spans="1:9" ht="12.75">
      <c r="A17">
        <v>1324</v>
      </c>
      <c r="B17" s="3">
        <f t="shared" si="0"/>
        <v>2.1720412543429664</v>
      </c>
      <c r="C17" s="3">
        <f t="shared" si="1"/>
        <v>0</v>
      </c>
      <c r="D17" s="5">
        <f t="shared" si="2"/>
        <v>26.30068962495716</v>
      </c>
      <c r="E17" s="5">
        <f t="shared" si="3"/>
        <v>0</v>
      </c>
      <c r="F17" s="46">
        <f t="shared" si="4"/>
        <v>0.3423097999999811</v>
      </c>
      <c r="G17" s="46">
        <f t="shared" si="5"/>
        <v>0.4145469686590104</v>
      </c>
      <c r="H17" s="46">
        <f t="shared" si="6"/>
        <v>0.3481140857101127</v>
      </c>
      <c r="I17" s="46">
        <f t="shared" si="7"/>
        <v>0.4108303046232322</v>
      </c>
    </row>
    <row r="18" spans="1:9" ht="12.75">
      <c r="A18">
        <v>1330</v>
      </c>
      <c r="B18" s="3">
        <f t="shared" si="0"/>
        <v>2.69701302517133</v>
      </c>
      <c r="C18" s="3">
        <f t="shared" si="1"/>
        <v>0.5542354035526942</v>
      </c>
      <c r="D18" s="5">
        <f t="shared" si="2"/>
        <v>40.91133826107398</v>
      </c>
      <c r="E18" s="5">
        <f t="shared" si="3"/>
        <v>1.6664566374602146</v>
      </c>
      <c r="F18" s="46">
        <f t="shared" si="4"/>
        <v>0.3369518749999827</v>
      </c>
      <c r="G18" s="46">
        <f t="shared" si="5"/>
        <v>0.41728378709979097</v>
      </c>
      <c r="H18" s="46">
        <f t="shared" si="6"/>
        <v>0.3447578645635804</v>
      </c>
      <c r="I18" s="46">
        <f t="shared" si="7"/>
        <v>0.40730847080703825</v>
      </c>
    </row>
    <row r="19" spans="1:9" ht="12.75">
      <c r="A19">
        <v>1340</v>
      </c>
      <c r="B19" s="3">
        <f t="shared" si="0"/>
        <v>3.556722868171947</v>
      </c>
      <c r="C19" s="3">
        <f t="shared" si="1"/>
        <v>1.461560765705888</v>
      </c>
      <c r="D19" s="5">
        <f t="shared" si="2"/>
        <v>72.19567832479515</v>
      </c>
      <c r="E19" s="5">
        <f t="shared" si="3"/>
        <v>11.76228697704937</v>
      </c>
      <c r="F19" s="46">
        <f t="shared" si="4"/>
        <v>0.32916499999996063</v>
      </c>
      <c r="G19" s="46">
        <f t="shared" si="5"/>
        <v>0.4288974631996325</v>
      </c>
      <c r="H19" s="46">
        <f t="shared" si="6"/>
        <v>0.3391839167078433</v>
      </c>
      <c r="I19" s="46">
        <f t="shared" si="7"/>
        <v>0.4014228178129997</v>
      </c>
    </row>
    <row r="20" spans="1:20" ht="15">
      <c r="A20">
        <v>1350</v>
      </c>
      <c r="B20" s="3">
        <f t="shared" si="0"/>
        <v>4.397986206370979</v>
      </c>
      <c r="C20" s="3">
        <f t="shared" si="1"/>
        <v>2.3490392306489882</v>
      </c>
      <c r="D20" s="5">
        <f t="shared" si="2"/>
        <v>111.98431069959042</v>
      </c>
      <c r="E20" s="5">
        <f t="shared" si="3"/>
        <v>30.831519311934244</v>
      </c>
      <c r="F20" s="46">
        <f t="shared" si="4"/>
        <v>0.3231156249999856</v>
      </c>
      <c r="G20" s="46">
        <f t="shared" si="5"/>
        <v>0.4508486124997262</v>
      </c>
      <c r="H20" s="46">
        <f t="shared" si="6"/>
        <v>0.33343252690145164</v>
      </c>
      <c r="I20" s="46">
        <f t="shared" si="7"/>
        <v>0.3953372974356171</v>
      </c>
      <c r="P20" s="49"/>
      <c r="Q20" s="49"/>
      <c r="R20" s="49"/>
      <c r="S20" s="49"/>
      <c r="T20" s="49"/>
    </row>
    <row r="21" spans="1:20" ht="12.75">
      <c r="A21">
        <v>1360</v>
      </c>
      <c r="B21" s="3">
        <f t="shared" si="0"/>
        <v>5.221476233335029</v>
      </c>
      <c r="C21" s="3">
        <f t="shared" si="1"/>
        <v>3.21739509838693</v>
      </c>
      <c r="D21" s="5">
        <f t="shared" si="2"/>
        <v>160.09616133217787</v>
      </c>
      <c r="E21" s="5">
        <f t="shared" si="3"/>
        <v>58.679333096886694</v>
      </c>
      <c r="F21" s="46">
        <f t="shared" si="4"/>
        <v>0.3191599999999255</v>
      </c>
      <c r="G21" s="46">
        <f t="shared" si="5"/>
        <v>0.4848934847999544</v>
      </c>
      <c r="H21" s="46">
        <f t="shared" si="6"/>
        <v>0.3273509118943184</v>
      </c>
      <c r="I21" s="46">
        <f t="shared" si="7"/>
        <v>0.3889264722238295</v>
      </c>
      <c r="P21" s="17"/>
      <c r="Q21" s="14"/>
      <c r="R21" s="50"/>
      <c r="S21" s="50"/>
      <c r="T21" s="14"/>
    </row>
    <row r="22" spans="1:20" ht="12.75">
      <c r="A22">
        <v>1370</v>
      </c>
      <c r="B22" s="3">
        <f t="shared" si="0"/>
        <v>6.027836875178167</v>
      </c>
      <c r="C22" s="3">
        <f t="shared" si="1"/>
        <v>4.067321179592221</v>
      </c>
      <c r="D22" s="5">
        <f t="shared" si="2"/>
        <v>216.35674050296075</v>
      </c>
      <c r="E22" s="5">
        <f t="shared" si="3"/>
        <v>95.11799197932851</v>
      </c>
      <c r="F22" s="46"/>
      <c r="G22" s="46"/>
      <c r="H22" s="46">
        <f t="shared" si="6"/>
        <v>0.3208615386018937</v>
      </c>
      <c r="I22" s="46">
        <f t="shared" si="7"/>
        <v>0.3821400198357878</v>
      </c>
      <c r="P22" s="17"/>
      <c r="Q22" s="9"/>
      <c r="R22" s="9"/>
      <c r="S22" s="9"/>
      <c r="T22" s="14"/>
    </row>
    <row r="23" spans="1:20" ht="12.75">
      <c r="A23">
        <v>1380</v>
      </c>
      <c r="B23" s="3">
        <f t="shared" si="0"/>
        <v>6.817684264358056</v>
      </c>
      <c r="C23" s="3">
        <f t="shared" si="1"/>
        <v>4.899480381286358</v>
      </c>
      <c r="D23" s="5">
        <f t="shared" si="2"/>
        <v>280.59785759294755</v>
      </c>
      <c r="E23" s="5">
        <f t="shared" si="3"/>
        <v>139.96653691241227</v>
      </c>
      <c r="F23" s="46"/>
      <c r="G23" s="46"/>
      <c r="H23" s="46">
        <f t="shared" si="6"/>
        <v>0.3139478780129866</v>
      </c>
      <c r="I23" s="46">
        <f t="shared" si="7"/>
        <v>0.3749865298595978</v>
      </c>
      <c r="P23" s="19"/>
      <c r="Q23" s="17"/>
      <c r="R23" s="14"/>
      <c r="S23" s="14"/>
      <c r="T23" s="14"/>
    </row>
    <row r="24" spans="1:20" ht="12.75">
      <c r="A24">
        <v>1390</v>
      </c>
      <c r="B24" s="3">
        <f t="shared" si="0"/>
        <v>7.591608129261822</v>
      </c>
      <c r="C24" s="3">
        <f t="shared" si="1"/>
        <v>5.714507201918068</v>
      </c>
      <c r="D24" s="5">
        <f t="shared" si="2"/>
        <v>352.6573501630337</v>
      </c>
      <c r="E24" s="5">
        <f t="shared" si="3"/>
        <v>193.0504946669389</v>
      </c>
      <c r="F24" s="46"/>
      <c r="G24" s="46"/>
      <c r="H24" s="46">
        <f t="shared" si="6"/>
        <v>0.3066413574187027</v>
      </c>
      <c r="I24" s="46">
        <f t="shared" si="7"/>
        <v>0.36751883472607005</v>
      </c>
      <c r="P24" s="19"/>
      <c r="Q24" s="17"/>
      <c r="R24" s="14"/>
      <c r="S24" s="14"/>
      <c r="T24" s="14"/>
    </row>
    <row r="25" spans="1:20" ht="12.75">
      <c r="A25">
        <v>1400</v>
      </c>
      <c r="B25" s="3">
        <f t="shared" si="0"/>
        <v>8.350173104956268</v>
      </c>
      <c r="C25" s="3">
        <f t="shared" si="1"/>
        <v>6.513009141620989</v>
      </c>
      <c r="D25" s="5">
        <f t="shared" si="2"/>
        <v>432.3788265306066</v>
      </c>
      <c r="E25" s="5">
        <f t="shared" si="3"/>
        <v>254.20160086530086</v>
      </c>
      <c r="F25" s="46"/>
      <c r="G25" s="46"/>
      <c r="H25" s="46">
        <f t="shared" si="6"/>
        <v>0.2990095129852125</v>
      </c>
      <c r="I25" s="46">
        <f t="shared" si="7"/>
        <v>0.35982087171578314</v>
      </c>
      <c r="P25" s="14"/>
      <c r="Q25" s="14"/>
      <c r="R25" s="14"/>
      <c r="S25" s="14"/>
      <c r="T25" s="14"/>
    </row>
    <row r="26" spans="1:20" ht="12.75">
      <c r="A26">
        <v>1410</v>
      </c>
      <c r="B26" s="3">
        <f t="shared" si="0"/>
        <v>9.093919970098684</v>
      </c>
      <c r="C26" s="3">
        <f t="shared" si="1"/>
        <v>7.295568033026294</v>
      </c>
      <c r="D26" s="5">
        <f t="shared" si="2"/>
        <v>519.6114210804299</v>
      </c>
      <c r="E26" s="5">
        <f t="shared" si="3"/>
        <v>323.2575367164536</v>
      </c>
      <c r="F26" s="46"/>
      <c r="G26" s="46"/>
      <c r="H26" s="46">
        <f t="shared" si="6"/>
        <v>0.29114534092412214</v>
      </c>
      <c r="I26" s="46">
        <f t="shared" si="7"/>
        <v>0.35199607782124076</v>
      </c>
      <c r="P26" s="14"/>
      <c r="Q26" s="14"/>
      <c r="R26" s="14"/>
      <c r="S26" s="14"/>
      <c r="T26" s="14"/>
    </row>
    <row r="27" spans="1:20" ht="12.75">
      <c r="A27">
        <v>1420</v>
      </c>
      <c r="B27" s="3">
        <f t="shared" si="0"/>
        <v>9.82336681465504</v>
      </c>
      <c r="C27" s="3">
        <f t="shared" si="1"/>
        <v>8.062741297629856</v>
      </c>
      <c r="D27" s="5">
        <f t="shared" si="2"/>
        <v>614.209561594922</v>
      </c>
      <c r="E27" s="5">
        <f t="shared" si="3"/>
        <v>400.0616786827959</v>
      </c>
      <c r="F27" s="46">
        <f t="shared" si="4"/>
        <v>0.2768032399999997</v>
      </c>
      <c r="G27" s="46">
        <f t="shared" si="5"/>
        <v>0.45683921916543113</v>
      </c>
      <c r="H27" s="46">
        <f t="shared" si="6"/>
        <v>0.2831578487447405</v>
      </c>
      <c r="I27" s="46">
        <f t="shared" si="7"/>
        <v>0.3441573177551618</v>
      </c>
      <c r="P27" s="14"/>
      <c r="Q27" s="14"/>
      <c r="R27" s="14"/>
      <c r="S27" s="14"/>
      <c r="T27" s="14"/>
    </row>
    <row r="28" spans="1:20" ht="12.75">
      <c r="A28">
        <v>1430</v>
      </c>
      <c r="B28" s="3">
        <f t="shared" si="0"/>
        <v>10.539010142749813</v>
      </c>
      <c r="C28" s="3">
        <f t="shared" si="1"/>
        <v>8.815063132366486</v>
      </c>
      <c r="D28" s="5">
        <f t="shared" si="2"/>
        <v>716.0327479338885</v>
      </c>
      <c r="E28" s="5">
        <f t="shared" si="3"/>
        <v>484.4628603579622</v>
      </c>
      <c r="F28" s="46">
        <f t="shared" si="4"/>
        <v>0.26902558999999837</v>
      </c>
      <c r="G28" s="46">
        <f t="shared" si="5"/>
        <v>0.4143705455403506</v>
      </c>
      <c r="H28" s="46">
        <f t="shared" si="6"/>
        <v>0.275163805467746</v>
      </c>
      <c r="I28" s="46">
        <f t="shared" si="7"/>
        <v>0.33641834375157487</v>
      </c>
      <c r="P28" s="14"/>
      <c r="Q28" s="20"/>
      <c r="R28" s="14"/>
      <c r="S28" s="20"/>
      <c r="T28" s="14"/>
    </row>
    <row r="29" spans="1:20" ht="12.75">
      <c r="A29">
        <v>1440</v>
      </c>
      <c r="B29" s="3">
        <f t="shared" si="0"/>
        <v>11.241325914673354</v>
      </c>
      <c r="C29" s="3">
        <f t="shared" si="1"/>
        <v>9.553045630722737</v>
      </c>
      <c r="D29" s="5">
        <f t="shared" si="2"/>
        <v>824.945341435181</v>
      </c>
      <c r="E29" s="5">
        <f t="shared" si="3"/>
        <v>576.3151458796201</v>
      </c>
      <c r="F29" s="46">
        <f t="shared" si="4"/>
        <v>0.26171375999999846</v>
      </c>
      <c r="G29" s="46">
        <f t="shared" si="5"/>
        <v>0.3805744286469235</v>
      </c>
      <c r="H29" s="46">
        <f t="shared" si="6"/>
        <v>0.26728069152784883</v>
      </c>
      <c r="I29" s="46">
        <f t="shared" si="7"/>
        <v>0.3288867876690347</v>
      </c>
      <c r="P29" s="14"/>
      <c r="Q29" s="14"/>
      <c r="R29" s="19"/>
      <c r="S29" s="19"/>
      <c r="T29" s="14"/>
    </row>
    <row r="30" spans="1:20" ht="12.75">
      <c r="A30">
        <v>1450</v>
      </c>
      <c r="B30" s="3">
        <f t="shared" si="0"/>
        <v>11.93077053179712</v>
      </c>
      <c r="C30" s="3">
        <f t="shared" si="1"/>
        <v>10.277179842423386</v>
      </c>
      <c r="D30" s="5">
        <f t="shared" si="2"/>
        <v>940.8163644470842</v>
      </c>
      <c r="E30" s="5">
        <f t="shared" si="3"/>
        <v>675.4776142430419</v>
      </c>
      <c r="F30" s="46">
        <f t="shared" si="4"/>
        <v>0.25486774999999995</v>
      </c>
      <c r="G30" s="46">
        <f t="shared" si="5"/>
        <v>0.35407990056364724</v>
      </c>
      <c r="H30" s="46">
        <f t="shared" si="6"/>
        <v>0.25962084747778136</v>
      </c>
      <c r="I30" s="46">
        <f t="shared" si="7"/>
        <v>0.3216586861235555</v>
      </c>
      <c r="P30" s="14"/>
      <c r="Q30" s="14"/>
      <c r="R30" s="19"/>
      <c r="S30" s="19"/>
      <c r="T30" s="14"/>
    </row>
    <row r="31" spans="1:9" ht="12.75">
      <c r="A31">
        <v>1460</v>
      </c>
      <c r="B31" s="3">
        <f t="shared" si="0"/>
        <v>12.607781767891892</v>
      </c>
      <c r="C31" s="3">
        <f t="shared" si="1"/>
        <v>10.987936775451972</v>
      </c>
      <c r="D31" s="5">
        <f t="shared" si="2"/>
        <v>1063.5193094389178</v>
      </c>
      <c r="E31" s="5">
        <f t="shared" si="3"/>
        <v>781.8141539200587</v>
      </c>
      <c r="F31" s="46">
        <f t="shared" si="4"/>
        <v>0.24848755999999927</v>
      </c>
      <c r="G31" s="46">
        <f t="shared" si="5"/>
        <v>0.333639488508652</v>
      </c>
      <c r="H31" s="46">
        <f t="shared" si="6"/>
        <v>0.2522868229197047</v>
      </c>
      <c r="I31" s="46">
        <f t="shared" si="7"/>
        <v>0.3148145378509071</v>
      </c>
    </row>
    <row r="32" spans="1:9" ht="12.75">
      <c r="A32">
        <v>1470</v>
      </c>
      <c r="B32" s="3">
        <f t="shared" si="0"/>
        <v>13.272779650107996</v>
      </c>
      <c r="C32" s="3">
        <f t="shared" si="1"/>
        <v>11.685768343911882</v>
      </c>
      <c r="D32" s="5">
        <f t="shared" si="2"/>
        <v>1192.931957170622</v>
      </c>
      <c r="E32" s="5">
        <f t="shared" si="3"/>
        <v>895.193267224764</v>
      </c>
      <c r="F32" s="46">
        <f t="shared" si="4"/>
        <v>0.24257319</v>
      </c>
      <c r="G32" s="46">
        <f t="shared" si="5"/>
        <v>0.3181292148524335</v>
      </c>
      <c r="H32" s="46">
        <f t="shared" si="6"/>
        <v>0.24536792482002057</v>
      </c>
      <c r="I32" s="46">
        <f t="shared" si="7"/>
        <v>0.30841689350199886</v>
      </c>
    </row>
    <row r="33" spans="1:9" ht="12.75">
      <c r="A33">
        <v>1480</v>
      </c>
      <c r="B33" s="3">
        <f t="shared" si="0"/>
        <v>13.926167292657887</v>
      </c>
      <c r="C33" s="3">
        <f t="shared" si="1"/>
        <v>12.371108264999112</v>
      </c>
      <c r="D33" s="5">
        <f t="shared" si="2"/>
        <v>1328.9362034331643</v>
      </c>
      <c r="E33" s="5">
        <f t="shared" si="3"/>
        <v>1015.4878839006633</v>
      </c>
      <c r="F33" s="46">
        <f t="shared" si="4"/>
        <v>0.23712463999999855</v>
      </c>
      <c r="G33" s="46">
        <f t="shared" si="5"/>
        <v>0.30654859709420634</v>
      </c>
      <c r="H33" s="46">
        <f t="shared" si="6"/>
        <v>0.2389379639706749</v>
      </c>
      <c r="I33" s="46">
        <f t="shared" si="7"/>
        <v>0.30250947771128267</v>
      </c>
    </row>
    <row r="34" spans="1:9" ht="12.75">
      <c r="A34">
        <v>1490</v>
      </c>
      <c r="B34" s="3">
        <f t="shared" si="0"/>
        <v>14.568331686038691</v>
      </c>
      <c r="C34" s="3">
        <f t="shared" si="1"/>
        <v>13.044372908139756</v>
      </c>
      <c r="D34" s="5">
        <f t="shared" si="2"/>
        <v>1471.4178939011763</v>
      </c>
      <c r="E34" s="5">
        <f t="shared" si="3"/>
        <v>1142.5751834358744</v>
      </c>
      <c r="F34" s="46">
        <f t="shared" si="4"/>
        <v>0.2321419099999994</v>
      </c>
      <c r="G34" s="46">
        <f t="shared" si="5"/>
        <v>0.29802064788191274</v>
      </c>
      <c r="H34" s="46">
        <f t="shared" si="6"/>
        <v>0.23305420262375265</v>
      </c>
      <c r="I34" s="46">
        <f t="shared" si="7"/>
        <v>0.2971178441075608</v>
      </c>
    </row>
    <row r="35" spans="1:9" ht="12.75">
      <c r="A35">
        <v>1500</v>
      </c>
      <c r="B35" s="3">
        <f t="shared" si="0"/>
        <v>15.199644444444445</v>
      </c>
      <c r="C35" s="3">
        <f t="shared" si="1"/>
        <v>13.705962099143113</v>
      </c>
      <c r="D35" s="5">
        <f t="shared" si="2"/>
        <v>1620.2666666666628</v>
      </c>
      <c r="E35" s="5">
        <f t="shared" si="3"/>
        <v>1276.3364256426648</v>
      </c>
      <c r="F35" s="46">
        <f t="shared" si="4"/>
        <v>0.22762499999999808</v>
      </c>
      <c r="G35" s="46">
        <f t="shared" si="5"/>
        <v>0.29179187500039916</v>
      </c>
      <c r="H35" s="46">
        <f t="shared" si="6"/>
        <v>0.22775749996697414</v>
      </c>
      <c r="I35" s="46">
        <f t="shared" si="7"/>
        <v>0.2922515624377411</v>
      </c>
    </row>
    <row r="36" spans="1:9" ht="12.75">
      <c r="A36">
        <v>1510</v>
      </c>
      <c r="B36" s="3">
        <f t="shared" si="0"/>
        <v>15.8204625138435</v>
      </c>
      <c r="C36" s="3">
        <f t="shared" si="1"/>
        <v>14.356259882033756</v>
      </c>
      <c r="D36" s="5">
        <f t="shared" si="2"/>
        <v>1775.3758020481546</v>
      </c>
      <c r="E36" s="5">
        <f t="shared" si="3"/>
        <v>1416.6567890645092</v>
      </c>
      <c r="F36" s="46">
        <f t="shared" si="4"/>
        <v>0.22357390999999815</v>
      </c>
      <c r="G36" s="46">
        <f t="shared" si="5"/>
        <v>0.28723228138142076</v>
      </c>
      <c r="H36" s="46">
        <f t="shared" si="6"/>
        <v>0.22307365830682102</v>
      </c>
      <c r="I36" s="46">
        <f t="shared" si="7"/>
        <v>0.28790793860389385</v>
      </c>
    </row>
    <row r="37" spans="1:9" ht="12.75">
      <c r="A37">
        <v>1520</v>
      </c>
      <c r="B37" s="3">
        <f t="shared" si="0"/>
        <v>16.4311288430347</v>
      </c>
      <c r="C37" s="3">
        <f t="shared" si="1"/>
        <v>14.995635241051902</v>
      </c>
      <c r="D37" s="5">
        <f t="shared" si="2"/>
        <v>1936.6420792936333</v>
      </c>
      <c r="E37" s="5">
        <f t="shared" si="3"/>
        <v>1563.425216800555</v>
      </c>
      <c r="F37" s="46">
        <f t="shared" si="4"/>
        <v>0.2199886400000005</v>
      </c>
      <c r="G37" s="46">
        <f t="shared" si="5"/>
        <v>0.28383536509454643</v>
      </c>
      <c r="H37" s="46">
        <f t="shared" si="6"/>
        <v>0.2190159676746407</v>
      </c>
      <c r="I37" s="46">
        <f t="shared" si="7"/>
        <v>0.2840772657946218</v>
      </c>
    </row>
    <row r="38" spans="1:9" ht="12.75">
      <c r="A38">
        <v>1530</v>
      </c>
      <c r="B38" s="3">
        <f t="shared" si="0"/>
        <v>17.031973019845726</v>
      </c>
      <c r="C38" s="3">
        <f t="shared" si="1"/>
        <v>15.62444278514967</v>
      </c>
      <c r="D38" s="5">
        <f t="shared" si="2"/>
        <v>2103.965639818023</v>
      </c>
      <c r="E38" s="5">
        <f t="shared" si="3"/>
        <v>1716.5342693605053</v>
      </c>
      <c r="F38" s="46">
        <f t="shared" si="4"/>
        <v>0.21686918999999893</v>
      </c>
      <c r="G38" s="46">
        <f t="shared" si="5"/>
        <v>0.28121811935079677</v>
      </c>
      <c r="H38" s="46">
        <f t="shared" si="6"/>
        <v>0.21558895041278447</v>
      </c>
      <c r="I38" s="46">
        <f t="shared" si="7"/>
        <v>0.2807496105961036</v>
      </c>
    </row>
    <row r="39" spans="1:9" ht="12.75">
      <c r="A39">
        <v>1540</v>
      </c>
      <c r="B39" s="3">
        <f t="shared" si="0"/>
        <v>17.623311874497574</v>
      </c>
      <c r="C39" s="3">
        <f t="shared" si="1"/>
        <v>16.243023397160776</v>
      </c>
      <c r="D39" s="5">
        <f t="shared" si="2"/>
        <v>2277.249856636874</v>
      </c>
      <c r="E39" s="5">
        <f t="shared" si="3"/>
        <v>1875.8799841861983</v>
      </c>
      <c r="F39" s="46">
        <f t="shared" si="4"/>
        <v>0.21421555999999964</v>
      </c>
      <c r="G39" s="46">
        <f t="shared" si="5"/>
        <v>0.27912103250992004</v>
      </c>
      <c r="H39" s="46">
        <f t="shared" si="6"/>
        <v>0.2127933046639373</v>
      </c>
      <c r="I39" s="46">
        <f t="shared" si="7"/>
        <v>0.2779231286549475</v>
      </c>
    </row>
    <row r="40" spans="1:9" ht="12.75">
      <c r="A40">
        <v>1550</v>
      </c>
      <c r="B40" s="3">
        <f t="shared" si="0"/>
        <v>18.20545005202914</v>
      </c>
      <c r="C40" s="3">
        <f t="shared" si="1"/>
        <v>16.851704849681582</v>
      </c>
      <c r="D40" s="5">
        <f t="shared" si="2"/>
        <v>2456.401209677424</v>
      </c>
      <c r="E40" s="5">
        <f t="shared" si="3"/>
        <v>2041.361741496774</v>
      </c>
      <c r="F40" s="46">
        <f t="shared" si="4"/>
        <v>0.21202774999999907</v>
      </c>
      <c r="G40" s="46">
        <f t="shared" si="5"/>
        <v>0.2774080880640213</v>
      </c>
      <c r="H40" s="46">
        <f t="shared" si="6"/>
        <v>0.2106320480296563</v>
      </c>
      <c r="I40" s="46">
        <f t="shared" si="7"/>
        <v>0.27561391532071866</v>
      </c>
    </row>
    <row r="41" spans="1:9" ht="12.75">
      <c r="A41">
        <v>1560</v>
      </c>
      <c r="B41" s="3">
        <f t="shared" si="0"/>
        <v>18.778680555555557</v>
      </c>
      <c r="C41" s="3">
        <f t="shared" si="1"/>
        <v>17.45080238957164</v>
      </c>
      <c r="D41" s="5">
        <f t="shared" si="2"/>
        <v>2641.32916666667</v>
      </c>
      <c r="E41" s="5">
        <f t="shared" si="3"/>
        <v>2212.882136134118</v>
      </c>
      <c r="F41" s="46">
        <f t="shared" si="4"/>
        <v>0.210305759999999</v>
      </c>
      <c r="G41" s="46">
        <f t="shared" si="5"/>
        <v>0.27606676464847624</v>
      </c>
      <c r="H41" s="46">
        <f t="shared" si="6"/>
        <v>0.20911785957912798</v>
      </c>
      <c r="I41" s="46">
        <f t="shared" si="7"/>
        <v>0.2738673868298065</v>
      </c>
    </row>
    <row r="42" spans="1:9" ht="12.75">
      <c r="A42">
        <v>1570</v>
      </c>
      <c r="B42" s="3">
        <f t="shared" si="0"/>
        <v>19.343285262021457</v>
      </c>
      <c r="C42" s="3">
        <f t="shared" si="1"/>
        <v>18.04061929286107</v>
      </c>
      <c r="D42" s="5">
        <f t="shared" si="2"/>
        <v>2831.9460693131623</v>
      </c>
      <c r="E42" s="5">
        <f t="shared" si="3"/>
        <v>2390.346855104057</v>
      </c>
      <c r="F42" s="46">
        <f t="shared" si="4"/>
        <v>0.20904959000000123</v>
      </c>
      <c r="G42" s="46">
        <f t="shared" si="5"/>
        <v>0.2752080360437503</v>
      </c>
      <c r="H42" s="46">
        <f t="shared" si="6"/>
        <v>0.2082816224054841</v>
      </c>
      <c r="I42" s="46">
        <f t="shared" si="7"/>
        <v>0.27277119549398776</v>
      </c>
    </row>
    <row r="43" spans="1:9" ht="12.75">
      <c r="A43">
        <v>1580</v>
      </c>
      <c r="B43" s="3">
        <f t="shared" si="0"/>
        <v>19.899535412005946</v>
      </c>
      <c r="C43" s="3">
        <f t="shared" si="1"/>
        <v>18.621447391739803</v>
      </c>
      <c r="D43" s="5">
        <f t="shared" si="2"/>
        <v>3028.1670245153</v>
      </c>
      <c r="E43" s="5">
        <f t="shared" si="3"/>
        <v>2573.6645605255617</v>
      </c>
      <c r="F43" s="46">
        <f t="shared" si="4"/>
        <v>0.2082592400000004</v>
      </c>
      <c r="G43" s="46">
        <f t="shared" si="5"/>
        <v>0.2750663711663037</v>
      </c>
      <c r="H43" s="46">
        <f t="shared" si="6"/>
        <v>0.2081821648524783</v>
      </c>
      <c r="I43" s="46">
        <f t="shared" si="7"/>
        <v>0.27246967640530784</v>
      </c>
    </row>
    <row r="44" spans="1:9" ht="12.75">
      <c r="A44">
        <v>1590</v>
      </c>
      <c r="B44" s="3">
        <f t="shared" si="0"/>
        <v>20.447692075038827</v>
      </c>
      <c r="C44" s="3">
        <f t="shared" si="1"/>
        <v>19.193567575198916</v>
      </c>
      <c r="D44" s="5">
        <f t="shared" si="2"/>
        <v>3229.9098003441322</v>
      </c>
      <c r="E44" s="5">
        <f t="shared" si="3"/>
        <v>2762.7467777168567</v>
      </c>
      <c r="F44" s="46">
        <f t="shared" si="4"/>
        <v>0.20793471000000008</v>
      </c>
      <c r="G44" s="46">
        <f t="shared" si="5"/>
        <v>0.27599973408314327</v>
      </c>
      <c r="H44" s="46">
        <f t="shared" si="6"/>
        <v>0.20891720093539334</v>
      </c>
      <c r="I44" s="46">
        <f t="shared" si="7"/>
        <v>0.27317982648673933</v>
      </c>
    </row>
    <row r="45" spans="1:9" ht="12.75">
      <c r="A45">
        <v>1600</v>
      </c>
      <c r="B45" s="3">
        <f t="shared" si="0"/>
        <v>20.988006591796875</v>
      </c>
      <c r="C45" s="3">
        <f t="shared" si="1"/>
        <v>19.757250264796877</v>
      </c>
      <c r="D45" s="5">
        <f t="shared" si="2"/>
        <v>3437.0947265625</v>
      </c>
      <c r="E45" s="5">
        <f t="shared" si="3"/>
        <v>2957.5077881624966</v>
      </c>
      <c r="F45" s="46">
        <f t="shared" si="4"/>
        <v>0.20807599999999937</v>
      </c>
      <c r="G45" s="46">
        <f t="shared" si="5"/>
        <v>0.2784895840027275</v>
      </c>
      <c r="H45" s="46">
        <f t="shared" si="6"/>
        <v>0.21063547145502526</v>
      </c>
      <c r="I45" s="46">
        <f t="shared" si="7"/>
        <v>0.275208817285602</v>
      </c>
    </row>
    <row r="46" spans="1:9" ht="12.75">
      <c r="A46">
        <v>1610</v>
      </c>
      <c r="B46" s="3">
        <f t="shared" si="0"/>
        <v>21.520720994464547</v>
      </c>
      <c r="C46" s="3">
        <f t="shared" si="1"/>
        <v>20.312755866932516</v>
      </c>
      <c r="D46" s="5">
        <f t="shared" si="2"/>
        <v>3649.6445994560345</v>
      </c>
      <c r="E46" s="5">
        <f t="shared" si="3"/>
        <v>3157.8645271193163</v>
      </c>
      <c r="F46" s="46">
        <f t="shared" si="4"/>
        <v>0.20868311000000006</v>
      </c>
      <c r="G46" s="46">
        <f t="shared" si="5"/>
        <v>0.2831408752549578</v>
      </c>
      <c r="H46" s="46">
        <f t="shared" si="6"/>
        <v>0.21355008209400694</v>
      </c>
      <c r="I46" s="46">
        <f t="shared" si="7"/>
        <v>0.27897303811914753</v>
      </c>
    </row>
    <row r="47" spans="1:9" ht="12.75">
      <c r="A47">
        <v>1620</v>
      </c>
      <c r="B47" s="3">
        <f t="shared" si="0"/>
        <v>22.046068406464688</v>
      </c>
      <c r="C47" s="3">
        <f t="shared" si="1"/>
        <v>20.860335202921867</v>
      </c>
      <c r="D47" s="5">
        <f t="shared" si="2"/>
        <v>3867.4845907636045</v>
      </c>
      <c r="E47" s="5">
        <f t="shared" si="3"/>
        <v>3363.736485633286</v>
      </c>
      <c r="F47" s="46">
        <f t="shared" si="4"/>
        <v>0.2097560399999986</v>
      </c>
      <c r="G47" s="46">
        <f t="shared" si="5"/>
        <v>0.29068205734029107</v>
      </c>
      <c r="H47" s="46">
        <f t="shared" si="6"/>
        <v>0.2179530444763077</v>
      </c>
      <c r="I47" s="46">
        <f t="shared" si="7"/>
        <v>0.285018674141611</v>
      </c>
    </row>
    <row r="48" spans="2:5" ht="12.75">
      <c r="B48" s="3"/>
      <c r="C48" s="3"/>
      <c r="D48" s="5"/>
      <c r="E48" s="5"/>
    </row>
  </sheetData>
  <mergeCells count="17">
    <mergeCell ref="U2:V2"/>
    <mergeCell ref="W2:X2"/>
    <mergeCell ref="T1:Y1"/>
    <mergeCell ref="L1:O1"/>
    <mergeCell ref="P1:S1"/>
    <mergeCell ref="I1:K1"/>
    <mergeCell ref="F9:G9"/>
    <mergeCell ref="H9:I9"/>
    <mergeCell ref="F8:I8"/>
    <mergeCell ref="A1:F1"/>
    <mergeCell ref="D8:E8"/>
    <mergeCell ref="D9:E9"/>
    <mergeCell ref="F4:G4"/>
    <mergeCell ref="P20:T20"/>
    <mergeCell ref="R21:S21"/>
    <mergeCell ref="M2:N2"/>
    <mergeCell ref="Q2:R2"/>
  </mergeCells>
  <conditionalFormatting sqref="R30 M8">
    <cfRule type="expression" priority="1" dxfId="0" stopIfTrue="1">
      <formula>$M$8&gt;$N$8</formula>
    </cfRule>
  </conditionalFormatting>
  <conditionalFormatting sqref="S30 N8">
    <cfRule type="expression" priority="2" dxfId="0" stopIfTrue="1">
      <formula>$N$8&gt;$M$8</formula>
    </cfRule>
  </conditionalFormatting>
  <conditionalFormatting sqref="R8">
    <cfRule type="expression" priority="3" dxfId="0" stopIfTrue="1">
      <formula>ABS($Q$8)&lt;ABS($R$8)</formula>
    </cfRule>
  </conditionalFormatting>
  <conditionalFormatting sqref="Q8 U8:X8">
    <cfRule type="expression" priority="4" dxfId="0" stopIfTrue="1">
      <formula>ABS($Q$8)&gt;ABS($R$8)</formula>
    </cfRule>
  </conditionalFormatting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3" shapeId="283716" r:id="rId1"/>
    <oleObject progId="Equation.3" shapeId="28371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B4" sqref="B4"/>
    </sheetView>
  </sheetViews>
  <sheetFormatPr defaultColWidth="9.140625" defaultRowHeight="12.75"/>
  <cols>
    <col min="5" max="5" width="11.7109375" style="0" customWidth="1"/>
    <col min="6" max="6" width="12.421875" style="0" bestFit="1" customWidth="1"/>
    <col min="9" max="9" width="13.140625" style="0" bestFit="1" customWidth="1"/>
  </cols>
  <sheetData>
    <row r="1" spans="1:4" ht="15">
      <c r="A1" s="29" t="s">
        <v>29</v>
      </c>
      <c r="B1" s="30"/>
      <c r="C1" s="30"/>
      <c r="D1" s="31"/>
    </row>
    <row r="2" spans="2:4" ht="12.75">
      <c r="B2" s="14"/>
      <c r="D2" s="15"/>
    </row>
    <row r="3" spans="1:4" ht="12.75">
      <c r="A3" s="27" t="s">
        <v>19</v>
      </c>
      <c r="B3" s="9"/>
      <c r="C3" s="28" t="s">
        <v>22</v>
      </c>
      <c r="D3" s="15"/>
    </row>
    <row r="4" spans="1:4" ht="12.75">
      <c r="A4" s="16" t="s">
        <v>24</v>
      </c>
      <c r="B4" s="17">
        <v>1532.84</v>
      </c>
      <c r="C4" s="2">
        <f>IF(B4&lt;1550,4.65/180*B4^2+(4.66-4.65*1460/90)*B4+48262.73333333,4.12/150*B4^2+(9.31-4.12*1550/75)*B4+52186.816666654)</f>
        <v>476.49742799667</v>
      </c>
      <c r="D4" s="15" t="s">
        <v>23</v>
      </c>
    </row>
    <row r="5" spans="1:4" ht="12.75">
      <c r="A5" s="16" t="s">
        <v>25</v>
      </c>
      <c r="B5" s="17">
        <v>1562.88</v>
      </c>
      <c r="C5" s="2">
        <f>IF(B5&lt;1550,4.65/180*B5^2+(4.66-4.65*1460/90)*B5+48262.73333333,4.12/150*B5^2+(9.31-4.12*1550/75)*B5+52186.816666654)</f>
        <v>753.1193661740181</v>
      </c>
      <c r="D5" s="15" t="s">
        <v>23</v>
      </c>
    </row>
    <row r="6" spans="1:4" ht="12.75">
      <c r="A6" s="13"/>
      <c r="B6" s="14"/>
      <c r="C6" s="14"/>
      <c r="D6" s="15"/>
    </row>
    <row r="7" spans="1:4" ht="12.75">
      <c r="A7" s="13" t="s">
        <v>36</v>
      </c>
      <c r="B7" s="14"/>
      <c r="C7" s="3">
        <f>IF(B5&lt;1550,4.65/90*(B5-1460)+4.66,4.12/75*(B5-1550)+9.31)</f>
        <v>10.01754133333334</v>
      </c>
      <c r="D7" s="15" t="s">
        <v>34</v>
      </c>
    </row>
    <row r="8" spans="1:4" ht="12.75">
      <c r="A8" s="13" t="s">
        <v>37</v>
      </c>
      <c r="B8" s="14"/>
      <c r="C8" s="3">
        <f>IF(B4&lt;1550,7/90*(B4-1460)-4.2,2.97/75*(B4-1550)+2.8)</f>
        <v>1.4653333333333265</v>
      </c>
      <c r="D8" s="15" t="s">
        <v>34</v>
      </c>
    </row>
    <row r="9" spans="1:4" ht="12.75">
      <c r="A9" s="13" t="s">
        <v>8</v>
      </c>
      <c r="B9" s="14"/>
      <c r="C9" s="19">
        <f>ABS(C5-C4)</f>
        <v>276.62193817734806</v>
      </c>
      <c r="D9" s="15" t="s">
        <v>23</v>
      </c>
    </row>
    <row r="10" spans="1:4" ht="12.75">
      <c r="A10" s="13" t="s">
        <v>7</v>
      </c>
      <c r="B10" s="20">
        <v>10</v>
      </c>
      <c r="C10" s="14"/>
      <c r="D10" s="15" t="s">
        <v>0</v>
      </c>
    </row>
    <row r="11" spans="1:4" ht="13.5" thickBot="1">
      <c r="A11" s="13" t="s">
        <v>38</v>
      </c>
      <c r="B11" s="20"/>
      <c r="C11" s="3">
        <f>C7*B10</f>
        <v>100.1754133333334</v>
      </c>
      <c r="D11" s="15" t="s">
        <v>35</v>
      </c>
    </row>
    <row r="12" spans="1:4" ht="12.75">
      <c r="A12" s="21" t="s">
        <v>6</v>
      </c>
      <c r="B12" s="22"/>
      <c r="C12" s="32">
        <f>C9*B10</f>
        <v>2766.2193817734806</v>
      </c>
      <c r="D12" s="23" t="s">
        <v>26</v>
      </c>
    </row>
    <row r="14" spans="1:2" ht="12.75">
      <c r="A14" t="s">
        <v>28</v>
      </c>
      <c r="B14" s="12" t="s">
        <v>32</v>
      </c>
    </row>
    <row r="16" spans="3:5" ht="12.75">
      <c r="C16" t="s">
        <v>4</v>
      </c>
      <c r="D16" t="s">
        <v>5</v>
      </c>
      <c r="E16" t="s">
        <v>1</v>
      </c>
    </row>
    <row r="17" spans="1:9" ht="12.75">
      <c r="A17">
        <v>1460</v>
      </c>
      <c r="C17" s="3">
        <f>IF(A17&lt;1550,7/90*(A17-1460)-4.2,2.97/75*(A17-1550)+2.8)</f>
        <v>-4.2</v>
      </c>
      <c r="D17" s="3">
        <f>IF(A17&lt;1550,4.65/90*(A17-1460)+4.66,4.12/75*(A17-1550)+9.31)</f>
        <v>4.66</v>
      </c>
      <c r="E17" s="2">
        <f>IF(A17&lt;1550,4.65/180*A17^2+(4.66-4.65*1460/90)*A17+48262.73333333,4.12/150*A17^2+(9.31-4.12*1550/75)*A17+52186.816666654)</f>
        <v>-3.3396645449101925E-09</v>
      </c>
      <c r="G17" s="2"/>
      <c r="I17" s="4"/>
    </row>
    <row r="18" spans="1:9" ht="12.75">
      <c r="A18">
        <v>1470</v>
      </c>
      <c r="C18" s="3">
        <f>IF(A18&lt;1550,7/90*(A18-1460)-4.2,2.97/75*(A18-1550)+2.8)</f>
        <v>-3.4222222222222225</v>
      </c>
      <c r="D18" s="3">
        <f>IF(A18&lt;1550,4.65/90*(A18-1460)+4.66,4.12/75*(A18-1550)+9.31)</f>
        <v>5.176666666666667</v>
      </c>
      <c r="E18" s="2">
        <f aca="true" t="shared" si="0" ref="E18:E34">IF(A18&lt;1550,4.65/180*A18^2+(4.66-4.65*1460/90)*A18+48262.73333333,4.12/150*A18^2+(9.31-4.12*1550/75)*A18+52186.816666654)</f>
        <v>49.18333332998736</v>
      </c>
      <c r="G18" s="2"/>
      <c r="I18" s="4"/>
    </row>
    <row r="19" spans="1:9" ht="12.75">
      <c r="A19">
        <v>1480</v>
      </c>
      <c r="C19" s="3">
        <f aca="true" t="shared" si="1" ref="C19:C31">IF(A19&lt;1550,7/90*(A19-1460)-4.2,2.97/75*(A19-1550)+2.8)</f>
        <v>-2.644444444444445</v>
      </c>
      <c r="D19" s="3">
        <f aca="true" t="shared" si="2" ref="D19:D31">IF(A19&lt;1550,4.65/90*(A19-1460)+4.66,4.12/75*(A19-1550)+9.31)</f>
        <v>5.693333333333333</v>
      </c>
      <c r="E19" s="2">
        <f t="shared" si="0"/>
        <v>103.53333333000046</v>
      </c>
      <c r="G19" s="2"/>
      <c r="I19" s="4"/>
    </row>
    <row r="20" spans="1:9" ht="12.75">
      <c r="A20">
        <v>1490</v>
      </c>
      <c r="C20" s="3">
        <f t="shared" si="1"/>
        <v>-1.8666666666666667</v>
      </c>
      <c r="D20" s="3">
        <f t="shared" si="2"/>
        <v>6.210000000000001</v>
      </c>
      <c r="E20" s="2">
        <f t="shared" si="0"/>
        <v>163.04999999666325</v>
      </c>
      <c r="G20" t="s">
        <v>2</v>
      </c>
      <c r="I20" s="4"/>
    </row>
    <row r="21" spans="1:9" ht="12.75">
      <c r="A21">
        <v>1500</v>
      </c>
      <c r="C21" s="3">
        <f t="shared" si="1"/>
        <v>-1.088888888888889</v>
      </c>
      <c r="D21" s="3">
        <f t="shared" si="2"/>
        <v>6.726666666666667</v>
      </c>
      <c r="E21" s="2">
        <f t="shared" si="0"/>
        <v>227.73333332999027</v>
      </c>
      <c r="I21" s="4"/>
    </row>
    <row r="22" spans="1:9" ht="12.75">
      <c r="A22">
        <v>1510</v>
      </c>
      <c r="C22" s="3">
        <f t="shared" si="1"/>
        <v>-0.31111111111111134</v>
      </c>
      <c r="D22" s="3">
        <f t="shared" si="2"/>
        <v>7.243333333333334</v>
      </c>
      <c r="E22" s="2">
        <f t="shared" si="0"/>
        <v>297.58333333000337</v>
      </c>
      <c r="G22" s="2"/>
      <c r="I22" s="4"/>
    </row>
    <row r="23" spans="1:9" ht="12.75">
      <c r="A23">
        <v>1520</v>
      </c>
      <c r="C23" s="3">
        <f t="shared" si="1"/>
        <v>0.4666666666666668</v>
      </c>
      <c r="D23" s="3">
        <f t="shared" si="2"/>
        <v>7.760000000000001</v>
      </c>
      <c r="E23" s="2">
        <f t="shared" si="0"/>
        <v>372.59999999666616</v>
      </c>
      <c r="G23" t="s">
        <v>3</v>
      </c>
      <c r="I23" s="4"/>
    </row>
    <row r="24" spans="1:9" ht="12.75">
      <c r="A24">
        <v>1530</v>
      </c>
      <c r="C24" s="3">
        <f t="shared" si="1"/>
        <v>1.2444444444444445</v>
      </c>
      <c r="D24" s="3">
        <f t="shared" si="2"/>
        <v>8.276666666666667</v>
      </c>
      <c r="E24" s="2">
        <f t="shared" si="0"/>
        <v>452.7833333299932</v>
      </c>
      <c r="I24" s="4"/>
    </row>
    <row r="25" spans="1:9" ht="12.75">
      <c r="A25">
        <v>1540</v>
      </c>
      <c r="C25" s="3">
        <f t="shared" si="1"/>
        <v>2.022222222222222</v>
      </c>
      <c r="D25" s="3">
        <f t="shared" si="2"/>
        <v>8.793333333333333</v>
      </c>
      <c r="E25" s="2">
        <f t="shared" si="0"/>
        <v>538.1333333299917</v>
      </c>
      <c r="G25" s="2"/>
      <c r="I25" s="4"/>
    </row>
    <row r="26" spans="1:9" ht="12.75">
      <c r="A26">
        <v>1550</v>
      </c>
      <c r="C26" s="3">
        <f t="shared" si="1"/>
        <v>2.8</v>
      </c>
      <c r="D26" s="3">
        <f t="shared" si="2"/>
        <v>9.31</v>
      </c>
      <c r="E26" s="2">
        <f t="shared" si="0"/>
        <v>628.6499999873413</v>
      </c>
      <c r="G26" s="2"/>
      <c r="I26" s="4"/>
    </row>
    <row r="27" spans="1:9" ht="12.75">
      <c r="A27">
        <v>1560</v>
      </c>
      <c r="C27" s="3">
        <f t="shared" si="1"/>
        <v>3.1959999999999997</v>
      </c>
      <c r="D27" s="3">
        <f t="shared" si="2"/>
        <v>9.859333333333334</v>
      </c>
      <c r="E27" s="2">
        <f t="shared" si="0"/>
        <v>724.4966666540204</v>
      </c>
      <c r="G27" t="s">
        <v>2</v>
      </c>
      <c r="I27" s="4"/>
    </row>
    <row r="28" spans="1:9" ht="12.75">
      <c r="A28">
        <v>1570</v>
      </c>
      <c r="C28" s="3">
        <f t="shared" si="1"/>
        <v>3.5919999999999996</v>
      </c>
      <c r="D28" s="3">
        <f t="shared" si="2"/>
        <v>10.408666666666667</v>
      </c>
      <c r="E28" s="2">
        <f t="shared" si="0"/>
        <v>825.8366666540169</v>
      </c>
      <c r="G28" s="2"/>
      <c r="I28" s="4"/>
    </row>
    <row r="29" spans="1:9" ht="12.75">
      <c r="A29">
        <v>1580</v>
      </c>
      <c r="C29" s="3">
        <f t="shared" si="1"/>
        <v>3.988</v>
      </c>
      <c r="D29" s="3">
        <f t="shared" si="2"/>
        <v>10.958</v>
      </c>
      <c r="E29" s="2">
        <f t="shared" si="0"/>
        <v>932.6699999873454</v>
      </c>
      <c r="G29" s="2"/>
      <c r="I29" s="4"/>
    </row>
    <row r="30" spans="1:9" ht="12.75">
      <c r="A30">
        <v>1590</v>
      </c>
      <c r="C30" s="3">
        <f t="shared" si="1"/>
        <v>4.384</v>
      </c>
      <c r="D30" s="3">
        <f t="shared" si="2"/>
        <v>11.507333333333333</v>
      </c>
      <c r="E30" s="2">
        <f t="shared" si="0"/>
        <v>1044.9966666540058</v>
      </c>
      <c r="G30" t="s">
        <v>3</v>
      </c>
      <c r="I30" s="4"/>
    </row>
    <row r="31" spans="1:9" ht="12.75">
      <c r="A31">
        <v>1600</v>
      </c>
      <c r="C31" s="3">
        <f t="shared" si="1"/>
        <v>4.78</v>
      </c>
      <c r="D31" s="3">
        <f t="shared" si="2"/>
        <v>12.056666666666667</v>
      </c>
      <c r="E31" s="2">
        <f t="shared" si="0"/>
        <v>1162.8166666540128</v>
      </c>
      <c r="G31" s="2"/>
      <c r="I31" s="4"/>
    </row>
    <row r="32" spans="1:9" ht="12.75">
      <c r="A32">
        <v>1610</v>
      </c>
      <c r="C32" s="3">
        <f>IF(A32&lt;1550,7/90*(A32-1460)-4.2,2.97/75*(A32-1550)+2.8)</f>
        <v>5.176</v>
      </c>
      <c r="D32" s="3">
        <f>IF(A32&lt;1550,4.65/90*(A32-1460)+4.66,4.12/75*(A32-1550)+9.31)</f>
        <v>12.606000000000002</v>
      </c>
      <c r="E32" s="2">
        <f t="shared" si="0"/>
        <v>1286.1299999873372</v>
      </c>
      <c r="G32" s="2"/>
      <c r="I32" s="4"/>
    </row>
    <row r="33" spans="1:9" ht="12.75">
      <c r="A33">
        <v>1620</v>
      </c>
      <c r="C33" s="3">
        <f>IF(A33&lt;1550,7/90*(A33-1460)-4.2,2.97/75*(A33-1550)+2.8)</f>
        <v>5.572</v>
      </c>
      <c r="D33" s="3">
        <f>IF(A33&lt;1550,4.65/90*(A33-1460)+4.66,4.12/75*(A33-1550)+9.31)</f>
        <v>13.155333333333335</v>
      </c>
      <c r="E33" s="2">
        <f t="shared" si="0"/>
        <v>1414.9366666540081</v>
      </c>
      <c r="G33" s="2"/>
      <c r="I33" s="4"/>
    </row>
    <row r="34" spans="1:9" ht="12.75">
      <c r="A34">
        <v>1630</v>
      </c>
      <c r="C34" s="3">
        <f>IF(A34&lt;1550,7/90*(A34-1460)-4.2,2.97/75*(A34-1550)+2.8)</f>
        <v>5.968</v>
      </c>
      <c r="D34" s="3">
        <f>IF(A34&lt;1550,4.65/90*(A34-1460)+4.66,4.12/75*(A34-1550)+9.31)</f>
        <v>13.704666666666668</v>
      </c>
      <c r="E34" s="2">
        <f t="shared" si="0"/>
        <v>1549.236666654011</v>
      </c>
      <c r="G34" s="2"/>
      <c r="I34" s="4"/>
    </row>
    <row r="35" spans="5:6" ht="12.75">
      <c r="E35" s="2"/>
      <c r="F35" s="2"/>
    </row>
    <row r="41" ht="12.75">
      <c r="C41" s="3"/>
    </row>
    <row r="42" spans="1:3" ht="12.75">
      <c r="A42" s="3"/>
      <c r="C42" s="2"/>
    </row>
    <row r="43" spans="1:3" ht="12.75">
      <c r="A43" s="3"/>
      <c r="C43" s="2"/>
    </row>
  </sheetData>
  <conditionalFormatting sqref="C12">
    <cfRule type="expression" priority="1" dxfId="0" stopIfTrue="1">
      <formula>$K$12&gt;$L$12</formula>
    </cfRule>
  </conditionalFormatting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Equation.3" shapeId="95115" r:id="rId1"/>
    <oleObject progId="Equation.3" shapeId="95116" r:id="rId2"/>
    <oleObject progId="Equation.3" shapeId="95117" r:id="rId3"/>
    <oleObject progId="Equation.3" shapeId="95118" r:id="rId4"/>
    <oleObject progId="Equation.3" shapeId="956753" r:id="rId5"/>
    <oleObject progId="Equation.3" shapeId="958600" r:id="rId6"/>
    <oleObject progId="Equation.3" shapeId="1770704" r:id="rId7"/>
    <oleObject progId="Equation.3" shapeId="1772369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Single Mode Fibre Loss, Dispersion and Delay</dc:title>
  <dc:subject/>
  <dc:creator>Pete Anslow</dc:creator>
  <cp:keywords/>
  <dc:description/>
  <cp:lastModifiedBy>Pete Anslow</cp:lastModifiedBy>
  <dcterms:created xsi:type="dcterms:W3CDTF">2006-08-21T15:39:14Z</dcterms:created>
  <dcterms:modified xsi:type="dcterms:W3CDTF">2007-02-23T14:32:39Z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