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8850" windowHeight="5160" activeTab="0"/>
  </bookViews>
  <sheets>
    <sheet name="Therm" sheetId="1" r:id="rId1"/>
  </sheets>
  <definedNames>
    <definedName name="_xlnm.Print_Area" localSheetId="0">'Therm'!$B$44:$M$123</definedName>
    <definedName name="solver_adj" localSheetId="0" hidden="1">'Therm'!#REF!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'Therm'!#REF!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<sst xmlns="http://schemas.openxmlformats.org/spreadsheetml/2006/main" count="140" uniqueCount="119">
  <si>
    <t>Wire Dia</t>
  </si>
  <si>
    <t>% Fill</t>
  </si>
  <si>
    <r>
      <t xml:space="preserve">DC </t>
    </r>
    <r>
      <rPr>
        <sz val="10"/>
        <rFont val="Symbol"/>
        <family val="1"/>
      </rPr>
      <t>W</t>
    </r>
  </si>
  <si>
    <t>AWG/ins</t>
  </si>
  <si>
    <t>40q</t>
  </si>
  <si>
    <t>1.0.1</t>
  </si>
  <si>
    <t>Program:</t>
  </si>
  <si>
    <t>Latest revision:</t>
  </si>
  <si>
    <t>By:</t>
  </si>
  <si>
    <t>Hank Hinrichs, Principal Engineer</t>
  </si>
  <si>
    <t>Date:</t>
  </si>
  <si>
    <t>OD</t>
  </si>
  <si>
    <t>ID</t>
  </si>
  <si>
    <t>Height</t>
  </si>
  <si>
    <t>Turns</t>
  </si>
  <si>
    <r>
      <t>Temp (</t>
    </r>
    <r>
      <rPr>
        <vertAlign val="superscript"/>
        <sz val="8"/>
        <rFont val="Arial"/>
        <family val="2"/>
      </rPr>
      <t>o</t>
    </r>
    <r>
      <rPr>
        <sz val="10"/>
        <rFont val="Arial"/>
        <family val="0"/>
      </rPr>
      <t>C)</t>
    </r>
  </si>
  <si>
    <t>Wattage</t>
  </si>
  <si>
    <t>Temp</t>
  </si>
  <si>
    <t>current</t>
  </si>
  <si>
    <t>Ind (uH)</t>
  </si>
  <si>
    <t>Phantom I (mA)</t>
  </si>
  <si>
    <t>Ambient</t>
  </si>
  <si>
    <t>4 Wire Choke Winding</t>
  </si>
  <si>
    <t>Choke Core Dimensions</t>
  </si>
  <si>
    <t>Transformer Core Dimensions</t>
  </si>
  <si>
    <t>Transformer</t>
  </si>
  <si>
    <t>4 Wire Choke</t>
  </si>
  <si>
    <t>March 3, 2005</t>
  </si>
  <si>
    <t>(03/03/05)</t>
  </si>
  <si>
    <t>"THERM"</t>
  </si>
  <si>
    <t>Chip Side Winding</t>
  </si>
  <si>
    <t>Media Side Winding</t>
  </si>
  <si>
    <t>Length</t>
  </si>
  <si>
    <t>Width</t>
  </si>
  <si>
    <t>Finished Choke Dimensions</t>
  </si>
  <si>
    <t xml:space="preserve">Synopsis: </t>
  </si>
  <si>
    <t>500 volts</t>
  </si>
  <si>
    <t>s =</t>
  </si>
  <si>
    <t>h =</t>
  </si>
  <si>
    <t>t =</t>
  </si>
  <si>
    <t>q =</t>
  </si>
  <si>
    <t>1000 volts</t>
  </si>
  <si>
    <t>1500 volts</t>
  </si>
  <si>
    <t>2000 volts</t>
  </si>
  <si>
    <t xml:space="preserve">Program usage: </t>
  </si>
  <si>
    <t>36h</t>
  </si>
  <si>
    <t>1)</t>
  </si>
  <si>
    <t>2)</t>
  </si>
  <si>
    <t>3)</t>
  </si>
  <si>
    <t>rise.</t>
  </si>
  <si>
    <t>This spreadsheet shows the effect phantom current has on a transformer's inductance and temperature</t>
  </si>
  <si>
    <t>The two graphs display the results for a typical 10/100 or 1000-BASE-T data channel and a 4 wire choke</t>
  </si>
  <si>
    <t xml:space="preserve">used to suppress EMI on the POE power lines. Experimental results indicate that having 2 or more </t>
  </si>
  <si>
    <t>transformers and/or chokes in close proximity has minimal effect on temperature rise provided these</t>
  </si>
  <si>
    <t>As one would expect and evidenced in the 2 graphs, there is a exponential relationship between phantom</t>
  </si>
  <si>
    <t>In the case of transformers used in the data channel, a more serious problem exists. The individual</t>
  </si>
  <si>
    <t>conductors in the differential data path can have as much as plus/minus resistance imbalance. This</t>
  </si>
  <si>
    <t>equates to 10.5 milliamps when passing 175 milliamps of phantom current, the maximum permitted under</t>
  </si>
  <si>
    <t>the present standard. This imbalance becomes a bias current that directly affects the transformer's primary</t>
  </si>
  <si>
    <t>inductance. At 10.5 milliamps, the typical inductance drops from 950 to less than 450 microhenries. Without</t>
  </si>
  <si>
    <t>increasing the core dimensions, any further increase in phantom current will decrease the inductance,</t>
  </si>
  <si>
    <t>causing the transformer to be non-compliant with prevailing standards.</t>
  </si>
  <si>
    <t>Although it's impossible to know the exact dimensional requirements of the finished product, it's relatively</t>
  </si>
  <si>
    <t>straight-forward to calculate the minimum requirements for a typical data channel and 4 wire choke. In the</t>
  </si>
  <si>
    <t>case of a data channel an additional EMI choke in series with the transformer has been included. The</t>
  </si>
  <si>
    <t>requirements for a complete port are calculated by multiplying the width (or length) dimension by either 2 or</t>
  </si>
  <si>
    <t>The user may change any of the values located in the cells colored grey. These values set the core</t>
  </si>
  <si>
    <t>geometries, wire gauge and insulation type, number of turns wound on the cores, and ambient temperature.</t>
  </si>
  <si>
    <t>Initially, the displayed values represent what's used in a typical data transformer and 4 wire choke. These</t>
  </si>
  <si>
    <t xml:space="preserve">values may be restored at any time by running macro "Default". </t>
  </si>
  <si>
    <t>centigrade temperature rise. A transformer, in order to be compliant with prevailing standards, must also</t>
  </si>
  <si>
    <t>maintain a primary inductance value of 350 microhenries minimum over 0 to 70 degrees centigrade. This is</t>
  </si>
  <si>
    <t>the reason why ambient temperature must also be specified for the transformer.</t>
  </si>
  <si>
    <t>The temperature rise and power curves in both charts are adjusted for the wire's resistance is at what's</t>
  </si>
  <si>
    <r>
      <t xml:space="preserve">specified in "Ambient Temp". This too is the value displayed for "DC </t>
    </r>
    <r>
      <rPr>
        <sz val="10"/>
        <rFont val="Symbol"/>
        <family val="1"/>
      </rPr>
      <t>W</t>
    </r>
    <r>
      <rPr>
        <sz val="10"/>
        <rFont val="Arial"/>
        <family val="0"/>
      </rPr>
      <t>" in both designs.</t>
    </r>
  </si>
  <si>
    <t>If a numeric value is entered for "Phantom I (mA)" in either design, the headings "Temperature Rise (C)" and</t>
  </si>
  <si>
    <t>"Power (mW)", along with their values, are displayed for the appropriate design. For a transformer,</t>
  </si>
  <si>
    <t>"Initial Permeabiltiy", "Ind (uH)", and "Drive (H)" are also displayed. Any other input blanks these displays</t>
  </si>
  <si>
    <t>and turns on the appropriate graph.</t>
  </si>
  <si>
    <t>As with most designs, there is a constant juggling act between size and performance. On one hand using</t>
  </si>
  <si>
    <t>a heavier wire gauge reduces the associated resistance, causing an overall reduction in power dissipation.</t>
  </si>
  <si>
    <t>This equates to minimizing the corresponding temperature rise. However as the wire gauge becomes</t>
  </si>
  <si>
    <t>heavier, its diameter increases, forcing the core's inside diameter to increase. A design is not producible</t>
  </si>
  <si>
    <t>whenever windings' turns occupy more than 60 percent. This condition is displayed by the value</t>
  </si>
  <si>
    <t>associated with "% Fill" heading turning red.</t>
  </si>
  <si>
    <t>Wire gauge values are entered as a 2 digit number and a letter suffex signifying its insulation thickness.</t>
  </si>
  <si>
    <t>The displayed temperature values represent cores having a thermally conductive path to</t>
  </si>
  <si>
    <t>ambient. The results can increase dramatically if the wound core is embedded in a thermally</t>
  </si>
  <si>
    <t>non-conductive medium.</t>
  </si>
  <si>
    <t>current and both power dissipation and temperature rise. Because resistance of copper wire increases</t>
  </si>
  <si>
    <t>.393% per degree centigrade, this causes the power and temperature rise slopes to be even more positive.</t>
  </si>
  <si>
    <t>magnetics each has a thermally conductive path to ambient.</t>
  </si>
  <si>
    <t>4)</t>
  </si>
  <si>
    <t>breakdown voltages are permitted:</t>
  </si>
  <si>
    <t>When designing a data transformer, only insulations having the highest breakdown are used because of</t>
  </si>
  <si>
    <t>the 1500 volts RMS isolation requirement. The following letters, case insensitive, along their associated</t>
  </si>
  <si>
    <t>In this spreadsheet, "Ambient" refers to an environment not affected by the heat produced by</t>
  </si>
  <si>
    <t>the magnetics. If the magnetics are located in an enclosed space, the thermal impedance of that</t>
  </si>
  <si>
    <t>enclosed space will raise the internal temperature and must accounted for.</t>
  </si>
  <si>
    <t xml:space="preserve">Program limitations: </t>
  </si>
  <si>
    <t>Only toroidal core geometries are considered.</t>
  </si>
  <si>
    <t>5)</t>
  </si>
  <si>
    <t>This spreadsheet does not consider any of the actual data handling or frequency domain</t>
  </si>
  <si>
    <t>requirements of a real design.</t>
  </si>
  <si>
    <t>All temperature rise results are the average associated with a given winding. Typical windings</t>
  </si>
  <si>
    <t>6)</t>
  </si>
  <si>
    <t>The transformer secondary with shunt choke in parallel, albeit a popular topography, cannot</t>
  </si>
  <si>
    <t>support phantom currents greater than the present standard without a significant increase in</t>
  </si>
  <si>
    <t>size and hasn't been considered here.</t>
  </si>
  <si>
    <t>these local "hot spot" variations are minimal and can be discounted. However, if the calculated</t>
  </si>
  <si>
    <t>and must be accounted for.</t>
  </si>
  <si>
    <t>Channels (1-4)</t>
  </si>
  <si>
    <t>Finished Port Dimensions</t>
  </si>
  <si>
    <t>A valid design, regardless of whether it's a transformer or choke, should not have more than 25 degrees</t>
  </si>
  <si>
    <t>have regions that are hotter than the average. As long as result is less than 25 degrees, these</t>
  </si>
  <si>
    <t>temperature rise increases beyond 25 degrees, these local "hot spots" can become significant</t>
  </si>
  <si>
    <t>4 depending on a 10/100 or 1000-BASE-T application. In the spreadsheet the "Finished Port Dimensions"</t>
  </si>
  <si>
    <t>reflect the dimensional requirements for a single channel time the nmber of channels specified. The "Width"</t>
  </si>
  <si>
    <t>and "Height" readings reflect the stackup having the smallest size.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</si>
</sst>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00"/>
    <numFmt numFmtId="167" formatCode="\(0.000\)"/>
    <numFmt numFmtId="168" formatCode="0.000000"/>
    <numFmt numFmtId="169" formatCode="0.0000"/>
    <numFmt numFmtId="170" formatCode="0.00_)"/>
    <numFmt numFmtId="171" formatCode="0_)"/>
    <numFmt numFmtId="172" formatCode="0.00;[Red]0.00"/>
    <numFmt numFmtId="173" formatCode="\(0\)"/>
    <numFmt numFmtId="174" formatCode="&quot;C2 = &quot;#,##0.00_);\(&quot;C2 = &quot;#,##0.00\)"/>
    <numFmt numFmtId="175" formatCode="&quot;C1 = &quot;#,##0.00_);\(&quot;C1 = &quot;#,##0.00\)"/>
    <numFmt numFmtId="176" formatCode="0.0E+00"/>
    <numFmt numFmtId="177" formatCode="m/d/yyyy"/>
  </numFmts>
  <fonts count="15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sz val="10"/>
      <color indexed="12"/>
      <name val="Arial"/>
      <family val="0"/>
    </font>
    <font>
      <sz val="10"/>
      <color indexed="8"/>
      <name val="Arial"/>
      <family val="2"/>
    </font>
    <font>
      <sz val="10"/>
      <name val="Symbol"/>
      <family val="1"/>
    </font>
    <font>
      <vertAlign val="superscript"/>
      <sz val="8"/>
      <name val="Arial"/>
      <family val="2"/>
    </font>
    <font>
      <b/>
      <sz val="16"/>
      <name val="Arial"/>
      <family val="2"/>
    </font>
    <font>
      <sz val="10"/>
      <color indexed="48"/>
      <name val="Arial"/>
      <family val="2"/>
    </font>
    <font>
      <sz val="10.75"/>
      <name val="Arial"/>
      <family val="0"/>
    </font>
    <font>
      <b/>
      <sz val="14"/>
      <name val="Arial"/>
      <family val="0"/>
    </font>
    <font>
      <b/>
      <sz val="10.75"/>
      <name val="Arial"/>
      <family val="0"/>
    </font>
    <font>
      <b/>
      <sz val="12.75"/>
      <name val="Arial"/>
      <family val="0"/>
    </font>
    <font>
      <b/>
      <sz val="10.25"/>
      <name val="Arial"/>
      <family val="0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1" fillId="2" borderId="0" applyNumberFormat="0" applyBorder="0" applyAlignment="0" applyProtection="0"/>
    <xf numFmtId="10" fontId="1" fillId="3" borderId="1" applyNumberFormat="0" applyBorder="0" applyAlignment="0" applyProtection="0"/>
    <xf numFmtId="170" fontId="2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4" borderId="0" xfId="0" applyFill="1" applyBorder="1" applyAlignment="1">
      <alignment/>
    </xf>
    <xf numFmtId="0" fontId="0" fillId="4" borderId="0" xfId="0" applyFont="1" applyFill="1" applyBorder="1" applyAlignment="1">
      <alignment/>
    </xf>
    <xf numFmtId="2" fontId="0" fillId="4" borderId="0" xfId="0" applyNumberFormat="1" applyFont="1" applyFill="1" applyBorder="1" applyAlignment="1">
      <alignment horizontal="centerContinuous"/>
    </xf>
    <xf numFmtId="0" fontId="0" fillId="0" borderId="0" xfId="0" applyFont="1" applyAlignment="1">
      <alignment/>
    </xf>
    <xf numFmtId="165" fontId="0" fillId="0" borderId="0" xfId="0" applyNumberFormat="1" applyFont="1" applyAlignment="1" applyProtection="1">
      <alignment horizontal="left"/>
      <protection/>
    </xf>
    <xf numFmtId="0" fontId="0" fillId="4" borderId="0" xfId="0" applyFill="1" applyAlignment="1">
      <alignment/>
    </xf>
    <xf numFmtId="2" fontId="0" fillId="4" borderId="0" xfId="0" applyNumberFormat="1" applyFont="1" applyFill="1" applyBorder="1" applyAlignment="1" applyProtection="1">
      <alignment horizontal="center"/>
      <protection hidden="1"/>
    </xf>
    <xf numFmtId="2" fontId="0" fillId="4" borderId="0" xfId="0" applyNumberFormat="1" applyFont="1" applyFill="1" applyBorder="1" applyAlignment="1" applyProtection="1">
      <alignment horizontal="centerContinuous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0" fillId="4" borderId="0" xfId="0" applyFont="1" applyFill="1" applyAlignment="1" applyProtection="1">
      <alignment horizontal="right"/>
      <protection hidden="1"/>
    </xf>
    <xf numFmtId="0" fontId="0" fillId="4" borderId="0" xfId="0" applyFont="1" applyFill="1" applyAlignment="1" applyProtection="1" quotePrefix="1">
      <alignment horizontal="left"/>
      <protection hidden="1"/>
    </xf>
    <xf numFmtId="0" fontId="0" fillId="4" borderId="0" xfId="0" applyFont="1" applyFill="1" applyAlignment="1" applyProtection="1">
      <alignment/>
      <protection hidden="1"/>
    </xf>
    <xf numFmtId="0" fontId="0" fillId="4" borderId="0" xfId="0" applyFont="1" applyFill="1" applyAlignment="1" applyProtection="1">
      <alignment horizontal="center"/>
      <protection hidden="1"/>
    </xf>
    <xf numFmtId="0" fontId="0" fillId="4" borderId="0" xfId="0" applyFont="1" applyFill="1" applyAlignment="1" applyProtection="1">
      <alignment/>
      <protection hidden="1"/>
    </xf>
    <xf numFmtId="0" fontId="0" fillId="4" borderId="0" xfId="0" applyFont="1" applyFill="1" applyAlignment="1" applyProtection="1" quotePrefix="1">
      <alignment horizontal="right"/>
      <protection hidden="1"/>
    </xf>
    <xf numFmtId="170" fontId="0" fillId="4" borderId="0" xfId="0" applyNumberFormat="1" applyFont="1" applyFill="1" applyAlignment="1" applyProtection="1">
      <alignment horizontal="left"/>
      <protection hidden="1"/>
    </xf>
    <xf numFmtId="170" fontId="0" fillId="4" borderId="0" xfId="0" applyNumberFormat="1" applyFont="1" applyFill="1" applyBorder="1" applyAlignment="1" applyProtection="1" quotePrefix="1">
      <alignment horizontal="right"/>
      <protection hidden="1"/>
    </xf>
    <xf numFmtId="166" fontId="0" fillId="4" borderId="0" xfId="0" applyNumberFormat="1" applyFont="1" applyFill="1" applyBorder="1" applyAlignment="1" applyProtection="1">
      <alignment horizontal="centerContinuous"/>
      <protection hidden="1"/>
    </xf>
    <xf numFmtId="0" fontId="0" fillId="4" borderId="0" xfId="0" applyFont="1" applyFill="1" applyBorder="1" applyAlignment="1" applyProtection="1" quotePrefix="1">
      <alignment horizontal="center"/>
      <protection hidden="1"/>
    </xf>
    <xf numFmtId="0" fontId="0" fillId="4" borderId="0" xfId="0" applyFont="1" applyFill="1" applyBorder="1" applyAlignment="1" applyProtection="1" quotePrefix="1">
      <alignment horizontal="center"/>
      <protection hidden="1"/>
    </xf>
    <xf numFmtId="0" fontId="0" fillId="4" borderId="0" xfId="0" applyFont="1" applyFill="1" applyBorder="1" applyAlignment="1" applyProtection="1" quotePrefix="1">
      <alignment horizontal="center" vertical="top"/>
      <protection hidden="1"/>
    </xf>
    <xf numFmtId="0" fontId="0" fillId="4" borderId="0" xfId="0" applyFill="1" applyBorder="1" applyAlignment="1">
      <alignment horizontal="center"/>
    </xf>
    <xf numFmtId="165" fontId="0" fillId="4" borderId="0" xfId="0" applyNumberFormat="1" applyFont="1" applyFill="1" applyBorder="1" applyAlignment="1" applyProtection="1">
      <alignment horizontal="centerContinuous"/>
      <protection hidden="1"/>
    </xf>
    <xf numFmtId="170" fontId="0" fillId="4" borderId="0" xfId="0" applyNumberFormat="1" applyFont="1" applyFill="1" applyBorder="1" applyAlignment="1" applyProtection="1">
      <alignment horizontal="right"/>
      <protection hidden="1"/>
    </xf>
    <xf numFmtId="166" fontId="0" fillId="4" borderId="0" xfId="0" applyNumberFormat="1" applyFill="1" applyBorder="1" applyAlignment="1">
      <alignment horizontal="center"/>
    </xf>
    <xf numFmtId="0" fontId="7" fillId="4" borderId="0" xfId="0" applyFont="1" applyFill="1" applyAlignment="1" applyProtection="1" quotePrefix="1">
      <alignment horizontal="left"/>
      <protection hidden="1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0" fillId="4" borderId="2" xfId="0" applyFill="1" applyBorder="1" applyAlignment="1">
      <alignment horizontal="centerContinuous"/>
    </xf>
    <xf numFmtId="0" fontId="0" fillId="0" borderId="3" xfId="0" applyBorder="1" applyAlignment="1">
      <alignment horizontal="centerContinuous"/>
    </xf>
    <xf numFmtId="165" fontId="0" fillId="4" borderId="0" xfId="0" applyNumberFormat="1" applyFont="1" applyFill="1" applyBorder="1" applyAlignment="1" applyProtection="1">
      <alignment horizontal="center"/>
      <protection hidden="1"/>
    </xf>
    <xf numFmtId="0" fontId="0" fillId="4" borderId="4" xfId="0" applyFont="1" applyFill="1" applyBorder="1" applyAlignment="1" applyProtection="1" quotePrefix="1">
      <alignment horizontal="center"/>
      <protection hidden="1"/>
    </xf>
    <xf numFmtId="169" fontId="0" fillId="4" borderId="0" xfId="0" applyNumberForma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0" fillId="4" borderId="0" xfId="0" applyFont="1" applyFill="1" applyBorder="1" applyAlignment="1" applyProtection="1">
      <alignment horizontal="center" vertical="top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14" fontId="0" fillId="4" borderId="0" xfId="0" applyNumberFormat="1" applyFont="1" applyFill="1" applyBorder="1" applyAlignment="1" applyProtection="1" quotePrefix="1">
      <alignment horizontal="left"/>
      <protection hidden="1"/>
    </xf>
    <xf numFmtId="0" fontId="3" fillId="4" borderId="0" xfId="0" applyFont="1" applyFill="1" applyBorder="1" applyAlignment="1" applyProtection="1">
      <alignment horizontal="centerContinuous"/>
      <protection locked="0"/>
    </xf>
    <xf numFmtId="0" fontId="0" fillId="4" borderId="5" xfId="0" applyFont="1" applyFill="1" applyBorder="1" applyAlignment="1" applyProtection="1" quotePrefix="1">
      <alignment horizontal="centerContinuous"/>
      <protection hidden="1"/>
    </xf>
    <xf numFmtId="165" fontId="0" fillId="4" borderId="4" xfId="0" applyNumberFormat="1" applyFont="1" applyFill="1" applyBorder="1" applyAlignment="1" applyProtection="1">
      <alignment horizontal="centerContinuous"/>
      <protection hidden="1"/>
    </xf>
    <xf numFmtId="0" fontId="0" fillId="4" borderId="5" xfId="0" applyFont="1" applyFill="1" applyBorder="1" applyAlignment="1" applyProtection="1" quotePrefix="1">
      <alignment horizontal="centerContinuous" vertical="center"/>
      <protection hidden="1"/>
    </xf>
    <xf numFmtId="0" fontId="0" fillId="4" borderId="6" xfId="0" applyFont="1" applyFill="1" applyBorder="1" applyAlignment="1" applyProtection="1" quotePrefix="1">
      <alignment horizontal="center" vertical="top"/>
      <protection hidden="1"/>
    </xf>
    <xf numFmtId="164" fontId="3" fillId="2" borderId="7" xfId="0" applyNumberFormat="1" applyFont="1" applyFill="1" applyBorder="1" applyAlignment="1" applyProtection="1">
      <alignment horizontal="centerContinuous"/>
      <protection locked="0"/>
    </xf>
    <xf numFmtId="2" fontId="0" fillId="4" borderId="0" xfId="0" applyNumberFormat="1" applyFill="1" applyAlignment="1">
      <alignment horizontal="center"/>
    </xf>
    <xf numFmtId="0" fontId="0" fillId="4" borderId="3" xfId="0" applyFill="1" applyBorder="1" applyAlignment="1">
      <alignment horizontal="centerContinuous"/>
    </xf>
    <xf numFmtId="0" fontId="0" fillId="4" borderId="5" xfId="0" applyFill="1" applyBorder="1" applyAlignment="1">
      <alignment horizontal="centerContinuous"/>
    </xf>
    <xf numFmtId="9" fontId="4" fillId="4" borderId="8" xfId="0" applyNumberFormat="1" applyFont="1" applyFill="1" applyBorder="1" applyAlignment="1" applyProtection="1">
      <alignment horizontal="center"/>
      <protection hidden="1"/>
    </xf>
    <xf numFmtId="0" fontId="0" fillId="4" borderId="2" xfId="0" applyFont="1" applyFill="1" applyBorder="1" applyAlignment="1" applyProtection="1">
      <alignment horizontal="centerContinuous"/>
      <protection hidden="1"/>
    </xf>
    <xf numFmtId="0" fontId="0" fillId="4" borderId="3" xfId="0" applyFont="1" applyFill="1" applyBorder="1" applyAlignment="1" applyProtection="1">
      <alignment horizontal="centerContinuous"/>
      <protection hidden="1"/>
    </xf>
    <xf numFmtId="0" fontId="0" fillId="4" borderId="0" xfId="0" applyFill="1" applyBorder="1" applyAlignment="1">
      <alignment/>
    </xf>
    <xf numFmtId="165" fontId="0" fillId="4" borderId="9" xfId="0" applyNumberFormat="1" applyFont="1" applyFill="1" applyBorder="1" applyAlignment="1" applyProtection="1">
      <alignment horizontal="centerContinuous"/>
      <protection hidden="1"/>
    </xf>
    <xf numFmtId="165" fontId="0" fillId="4" borderId="10" xfId="0" applyNumberFormat="1" applyFont="1" applyFill="1" applyBorder="1" applyAlignment="1" applyProtection="1">
      <alignment horizontal="centerContinuous"/>
      <protection hidden="1"/>
    </xf>
    <xf numFmtId="165" fontId="0" fillId="4" borderId="11" xfId="0" applyNumberFormat="1" applyFont="1" applyFill="1" applyBorder="1" applyAlignment="1" applyProtection="1">
      <alignment horizontal="centerContinuous"/>
      <protection hidden="1"/>
    </xf>
    <xf numFmtId="2" fontId="0" fillId="4" borderId="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Continuous"/>
    </xf>
    <xf numFmtId="0" fontId="0" fillId="4" borderId="11" xfId="0" applyFill="1" applyBorder="1" applyAlignment="1">
      <alignment horizontal="centerContinuous"/>
    </xf>
    <xf numFmtId="2" fontId="0" fillId="4" borderId="12" xfId="0" applyNumberFormat="1" applyFill="1" applyBorder="1" applyAlignment="1">
      <alignment horizontal="center"/>
    </xf>
    <xf numFmtId="2" fontId="0" fillId="4" borderId="8" xfId="0" applyNumberFormat="1" applyFill="1" applyBorder="1" applyAlignment="1">
      <alignment horizontal="center"/>
    </xf>
    <xf numFmtId="2" fontId="0" fillId="4" borderId="13" xfId="0" applyNumberFormat="1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2" fontId="0" fillId="4" borderId="15" xfId="0" applyNumberFormat="1" applyFill="1" applyBorder="1" applyAlignment="1">
      <alignment horizontal="center"/>
    </xf>
    <xf numFmtId="2" fontId="0" fillId="4" borderId="9" xfId="0" applyNumberForma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Continuous"/>
      <protection locked="0"/>
    </xf>
    <xf numFmtId="0" fontId="0" fillId="4" borderId="9" xfId="0" applyFill="1" applyBorder="1" applyAlignment="1">
      <alignment horizontal="centerContinuous"/>
    </xf>
    <xf numFmtId="165" fontId="0" fillId="4" borderId="6" xfId="0" applyNumberFormat="1" applyFont="1" applyFill="1" applyBorder="1" applyAlignment="1" applyProtection="1">
      <alignment horizontal="centerContinuous"/>
      <protection hidden="1"/>
    </xf>
    <xf numFmtId="0" fontId="0" fillId="4" borderId="6" xfId="0" applyFont="1" applyFill="1" applyBorder="1" applyAlignment="1" applyProtection="1" quotePrefix="1">
      <alignment horizontal="center"/>
      <protection hidden="1"/>
    </xf>
    <xf numFmtId="164" fontId="8" fillId="2" borderId="7" xfId="0" applyNumberFormat="1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Continuous"/>
      <protection hidden="1"/>
    </xf>
    <xf numFmtId="166" fontId="0" fillId="4" borderId="7" xfId="0" applyNumberFormat="1" applyFill="1" applyBorder="1" applyAlignment="1" applyProtection="1">
      <alignment horizontal="center"/>
      <protection hidden="1"/>
    </xf>
    <xf numFmtId="1" fontId="0" fillId="4" borderId="0" xfId="0" applyNumberForma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2" fontId="0" fillId="4" borderId="0" xfId="0" applyNumberFormat="1" applyFill="1" applyAlignment="1" applyProtection="1">
      <alignment horizontal="center"/>
      <protection hidden="1"/>
    </xf>
    <xf numFmtId="0" fontId="0" fillId="4" borderId="4" xfId="0" applyFill="1" applyBorder="1" applyAlignment="1" applyProtection="1">
      <alignment horizontal="center"/>
      <protection hidden="1"/>
    </xf>
    <xf numFmtId="169" fontId="0" fillId="4" borderId="7" xfId="0" applyNumberFormat="1" applyFill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4" borderId="6" xfId="0" applyFill="1" applyBorder="1" applyAlignment="1" applyProtection="1">
      <alignment horizontal="center"/>
      <protection hidden="1"/>
    </xf>
    <xf numFmtId="166" fontId="0" fillId="4" borderId="2" xfId="0" applyNumberFormat="1" applyFont="1" applyFill="1" applyBorder="1" applyAlignment="1" applyProtection="1">
      <alignment horizontal="centerContinuous"/>
      <protection hidden="1"/>
    </xf>
    <xf numFmtId="2" fontId="0" fillId="4" borderId="3" xfId="0" applyNumberFormat="1" applyFill="1" applyBorder="1" applyAlignment="1">
      <alignment horizontal="centerContinuous"/>
    </xf>
    <xf numFmtId="166" fontId="0" fillId="4" borderId="4" xfId="0" applyNumberFormat="1" applyFont="1" applyFill="1" applyBorder="1" applyAlignment="1" applyProtection="1">
      <alignment horizontal="center"/>
      <protection hidden="1"/>
    </xf>
    <xf numFmtId="0" fontId="0" fillId="4" borderId="5" xfId="0" applyFill="1" applyBorder="1" applyAlignment="1" applyProtection="1">
      <alignment horizontal="centerContinuous"/>
      <protection hidden="1"/>
    </xf>
    <xf numFmtId="0" fontId="0" fillId="4" borderId="12" xfId="0" applyFill="1" applyBorder="1" applyAlignment="1" applyProtection="1">
      <alignment horizontal="center"/>
      <protection hidden="1"/>
    </xf>
    <xf numFmtId="166" fontId="0" fillId="4" borderId="13" xfId="0" applyNumberFormat="1" applyFill="1" applyBorder="1" applyAlignment="1" applyProtection="1">
      <alignment horizontal="center"/>
      <protection hidden="1"/>
    </xf>
    <xf numFmtId="2" fontId="0" fillId="4" borderId="8" xfId="0" applyNumberFormat="1" applyFill="1" applyBorder="1" applyAlignment="1" applyProtection="1">
      <alignment horizontal="center"/>
      <protection hidden="1"/>
    </xf>
    <xf numFmtId="166" fontId="0" fillId="4" borderId="15" xfId="0" applyNumberFormat="1" applyFont="1" applyFill="1" applyBorder="1" applyAlignment="1" applyProtection="1">
      <alignment horizontal="center"/>
      <protection hidden="1"/>
    </xf>
    <xf numFmtId="166" fontId="3" fillId="2" borderId="13" xfId="0" applyNumberFormat="1" applyFont="1" applyFill="1" applyBorder="1" applyAlignment="1" applyProtection="1">
      <alignment horizontal="centerContinuous"/>
      <protection locked="0"/>
    </xf>
    <xf numFmtId="166" fontId="3" fillId="2" borderId="14" xfId="0" applyNumberFormat="1" applyFont="1" applyFill="1" applyBorder="1" applyAlignment="1" applyProtection="1">
      <alignment horizontal="centerContinuous"/>
      <protection locked="0"/>
    </xf>
    <xf numFmtId="166" fontId="3" fillId="2" borderId="15" xfId="0" applyNumberFormat="1" applyFont="1" applyFill="1" applyBorder="1" applyAlignment="1" applyProtection="1">
      <alignment horizontal="centerContinuous"/>
      <protection locked="0"/>
    </xf>
    <xf numFmtId="172" fontId="0" fillId="4" borderId="15" xfId="0" applyNumberFormat="1" applyFont="1" applyFill="1" applyBorder="1" applyAlignment="1" applyProtection="1">
      <alignment horizontal="center" vertical="justify"/>
      <protection hidden="1"/>
    </xf>
    <xf numFmtId="172" fontId="0" fillId="4" borderId="15" xfId="0" applyNumberFormat="1" applyFont="1" applyFill="1" applyBorder="1" applyAlignment="1" applyProtection="1">
      <alignment horizontal="center"/>
      <protection hidden="1"/>
    </xf>
    <xf numFmtId="165" fontId="0" fillId="4" borderId="14" xfId="0" applyNumberFormat="1" applyFont="1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Continuous"/>
      <protection locked="0"/>
    </xf>
    <xf numFmtId="0" fontId="0" fillId="4" borderId="0" xfId="0" applyFill="1" applyAlignment="1">
      <alignment horizontal="right"/>
    </xf>
    <xf numFmtId="0" fontId="0" fillId="4" borderId="0" xfId="0" applyFill="1" applyAlignment="1">
      <alignment horizontal="left"/>
    </xf>
    <xf numFmtId="0" fontId="14" fillId="4" borderId="0" xfId="0" applyFont="1" applyFill="1" applyAlignment="1">
      <alignment/>
    </xf>
    <xf numFmtId="0" fontId="0" fillId="4" borderId="9" xfId="0" applyFill="1" applyBorder="1" applyAlignment="1" applyProtection="1">
      <alignment horizontal="center"/>
      <protection hidden="1"/>
    </xf>
    <xf numFmtId="2" fontId="0" fillId="4" borderId="11" xfId="0" applyNumberFormat="1" applyFill="1" applyBorder="1" applyAlignment="1" applyProtection="1">
      <alignment horizontal="center"/>
      <protection hidden="1"/>
    </xf>
    <xf numFmtId="166" fontId="0" fillId="4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66" fontId="14" fillId="4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/>
      <protection hidden="1"/>
    </xf>
    <xf numFmtId="166" fontId="14" fillId="4" borderId="0" xfId="0" applyNumberFormat="1" applyFont="1" applyFill="1" applyAlignment="1" applyProtection="1">
      <alignment horizontal="center"/>
      <protection hidden="1"/>
    </xf>
    <xf numFmtId="166" fontId="0" fillId="0" borderId="7" xfId="0" applyNumberFormat="1" applyBorder="1" applyAlignment="1" applyProtection="1">
      <alignment horizontal="center"/>
      <protection hidden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rmal - Style1" xfId="21"/>
    <cellStyle name="Percent" xfId="22"/>
    <cellStyle name="Percent [2]" xfId="2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4 Wire Choke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Power (mW)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Therm!$AB$4:$AB$44</c:f>
              <c:numCache/>
            </c:numRef>
          </c:cat>
          <c:val>
            <c:numRef>
              <c:f>Therm!$AD$4:$AD$44</c:f>
              <c:numCache/>
            </c:numRef>
          </c:val>
          <c:smooth val="0"/>
        </c:ser>
        <c:axId val="43720437"/>
        <c:axId val="57939614"/>
      </c:lineChart>
      <c:lineChart>
        <c:grouping val="standard"/>
        <c:varyColors val="0"/>
        <c:ser>
          <c:idx val="1"/>
          <c:order val="1"/>
          <c:tx>
            <c:v>Temperature Rise (C)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Therm!$AC$4:$AC$44</c:f>
              <c:numCache/>
            </c:numRef>
          </c:val>
          <c:smooth val="0"/>
        </c:ser>
        <c:axId val="51694479"/>
        <c:axId val="62597128"/>
      </c:lineChart>
      <c:catAx>
        <c:axId val="43720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Current, each wire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939614"/>
        <c:crosses val="autoZero"/>
        <c:auto val="1"/>
        <c:lblOffset val="100"/>
        <c:tickLblSkip val="5"/>
        <c:noMultiLvlLbl val="0"/>
      </c:catAx>
      <c:valAx>
        <c:axId val="57939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Power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720437"/>
        <c:crossesAt val="1"/>
        <c:crossBetween val="midCat"/>
        <c:dispUnits/>
      </c:valAx>
      <c:catAx>
        <c:axId val="51694479"/>
        <c:scaling>
          <c:orientation val="minMax"/>
        </c:scaling>
        <c:axPos val="b"/>
        <c:delete val="1"/>
        <c:majorTickMark val="in"/>
        <c:minorTickMark val="none"/>
        <c:tickLblPos val="nextTo"/>
        <c:crossAx val="62597128"/>
        <c:crosses val="autoZero"/>
        <c:auto val="1"/>
        <c:lblOffset val="100"/>
        <c:noMultiLvlLbl val="0"/>
      </c:catAx>
      <c:valAx>
        <c:axId val="62597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169447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Transformer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Inductance (uH)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Therm!$W$4:$W$54</c:f>
              <c:numCache/>
            </c:numRef>
          </c:cat>
          <c:val>
            <c:numRef>
              <c:f>Therm!$X$4:$X$54</c:f>
              <c:numCache/>
            </c:numRef>
          </c:val>
          <c:smooth val="0"/>
        </c:ser>
        <c:axId val="26503241"/>
        <c:axId val="37202578"/>
      </c:lineChart>
      <c:lineChart>
        <c:grouping val="standard"/>
        <c:varyColors val="0"/>
        <c:ser>
          <c:idx val="1"/>
          <c:order val="1"/>
          <c:tx>
            <c:v>Temperature Rise (C)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Therm!$Y$4:$Y$54</c:f>
              <c:numCache/>
            </c:numRef>
          </c:val>
          <c:smooth val="0"/>
        </c:ser>
        <c:ser>
          <c:idx val="2"/>
          <c:order val="2"/>
          <c:tx>
            <c:v>Power (mW)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Therm!$Z$4:$Z$54</c:f>
              <c:numCache/>
            </c:numRef>
          </c:val>
          <c:smooth val="0"/>
        </c:ser>
        <c:axId val="66387747"/>
        <c:axId val="60618812"/>
      </c:lineChart>
      <c:catAx>
        <c:axId val="26503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Current, each wire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202578"/>
        <c:crosses val="autoZero"/>
        <c:auto val="1"/>
        <c:lblOffset val="100"/>
        <c:tickLblSkip val="5"/>
        <c:tickMarkSkip val="2"/>
        <c:noMultiLvlLbl val="0"/>
      </c:catAx>
      <c:valAx>
        <c:axId val="37202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Inductance (uH)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503241"/>
        <c:crossesAt val="1"/>
        <c:crossBetween val="midCat"/>
        <c:dispUnits/>
      </c:valAx>
      <c:catAx>
        <c:axId val="66387747"/>
        <c:scaling>
          <c:orientation val="minMax"/>
        </c:scaling>
        <c:axPos val="b"/>
        <c:delete val="1"/>
        <c:majorTickMark val="in"/>
        <c:minorTickMark val="none"/>
        <c:tickLblPos val="nextTo"/>
        <c:crossAx val="60618812"/>
        <c:crosses val="autoZero"/>
        <c:auto val="1"/>
        <c:lblOffset val="100"/>
        <c:noMultiLvlLbl val="0"/>
      </c:catAx>
      <c:valAx>
        <c:axId val="60618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Temperature (C) or Power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638774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</xdr:row>
      <xdr:rowOff>57150</xdr:rowOff>
    </xdr:from>
    <xdr:ext cx="4991100" cy="3552825"/>
    <xdr:graphicFrame>
      <xdr:nvGraphicFramePr>
        <xdr:cNvPr id="1" name="Chart 1"/>
        <xdr:cNvGraphicFramePr/>
      </xdr:nvGraphicFramePr>
      <xdr:xfrm>
        <a:off x="5991225" y="447675"/>
        <a:ext cx="49911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9525</xdr:colOff>
      <xdr:row>2</xdr:row>
      <xdr:rowOff>104775</xdr:rowOff>
    </xdr:from>
    <xdr:ext cx="5029200" cy="3524250"/>
    <xdr:graphicFrame>
      <xdr:nvGraphicFramePr>
        <xdr:cNvPr id="2" name="Chart 2"/>
        <xdr:cNvGraphicFramePr/>
      </xdr:nvGraphicFramePr>
      <xdr:xfrm>
        <a:off x="123825" y="495300"/>
        <a:ext cx="50292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0"/>
  <sheetViews>
    <sheetView tabSelected="1" zoomScale="85" zoomScaleNormal="85" workbookViewId="0" topLeftCell="A1">
      <selection activeCell="D71" sqref="D71"/>
    </sheetView>
  </sheetViews>
  <sheetFormatPr defaultColWidth="9.140625" defaultRowHeight="12.75"/>
  <cols>
    <col min="1" max="1" width="1.7109375" style="0" customWidth="1"/>
    <col min="2" max="5" width="9.7109375" style="0" customWidth="1"/>
    <col min="6" max="6" width="1.7109375" style="0" customWidth="1"/>
    <col min="7" max="7" width="13.7109375" style="0" customWidth="1"/>
    <col min="8" max="10" width="10.7109375" style="0" customWidth="1"/>
    <col min="11" max="11" width="1.7109375" style="0" customWidth="1"/>
    <col min="12" max="15" width="9.7109375" style="0" customWidth="1"/>
    <col min="16" max="16" width="1.7109375" style="0" customWidth="1"/>
    <col min="17" max="17" width="13.7109375" style="0" customWidth="1"/>
    <col min="18" max="20" width="10.7109375" style="0" customWidth="1"/>
  </cols>
  <sheetData>
    <row r="1" spans="1:31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ht="18" customHeight="1">
      <c r="A2" s="6"/>
      <c r="B2" s="10" t="s">
        <v>6</v>
      </c>
      <c r="C2" s="26" t="s">
        <v>29</v>
      </c>
      <c r="D2" s="6"/>
      <c r="E2" s="15" t="s">
        <v>8</v>
      </c>
      <c r="F2" s="16" t="s">
        <v>9</v>
      </c>
      <c r="G2" s="6"/>
      <c r="H2" s="6"/>
      <c r="J2" s="6"/>
      <c r="K2" s="17" t="s">
        <v>10</v>
      </c>
      <c r="L2" s="37" t="s">
        <v>27</v>
      </c>
      <c r="M2" s="12"/>
      <c r="N2" s="10" t="s">
        <v>7</v>
      </c>
      <c r="O2" s="13" t="s">
        <v>5</v>
      </c>
      <c r="P2" s="11" t="s">
        <v>28</v>
      </c>
      <c r="Q2" s="13"/>
      <c r="R2" s="6"/>
      <c r="S2" s="6"/>
      <c r="T2" s="6"/>
      <c r="U2" s="6"/>
      <c r="V2" s="6"/>
      <c r="W2" s="66" t="s">
        <v>25</v>
      </c>
      <c r="X2" s="55"/>
      <c r="Y2" s="55"/>
      <c r="Z2" s="56"/>
      <c r="AA2" s="6"/>
      <c r="AB2" s="66" t="s">
        <v>26</v>
      </c>
      <c r="AC2" s="55"/>
      <c r="AD2" s="56"/>
      <c r="AE2" s="6"/>
    </row>
    <row r="3" spans="1:31" ht="12.75" customHeight="1">
      <c r="A3" s="6"/>
      <c r="B3" s="6"/>
      <c r="C3" s="6"/>
      <c r="D3" s="6"/>
      <c r="E3" s="6"/>
      <c r="F3" s="24"/>
      <c r="G3" s="6"/>
      <c r="H3" s="6"/>
      <c r="I3" s="6"/>
      <c r="J3" s="6"/>
      <c r="K3" s="44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59" t="s">
        <v>18</v>
      </c>
      <c r="X3" s="93" t="s">
        <v>19</v>
      </c>
      <c r="Y3" s="60" t="s">
        <v>17</v>
      </c>
      <c r="Z3" s="61" t="s">
        <v>16</v>
      </c>
      <c r="AA3" s="6"/>
      <c r="AB3" s="59" t="s">
        <v>18</v>
      </c>
      <c r="AC3" s="60" t="s">
        <v>17</v>
      </c>
      <c r="AD3" s="61" t="s">
        <v>16</v>
      </c>
      <c r="AE3" s="6"/>
    </row>
    <row r="4" spans="1:31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44"/>
      <c r="L4" s="6"/>
      <c r="M4" s="6"/>
      <c r="N4" s="6"/>
      <c r="O4" s="6"/>
      <c r="P4" s="6"/>
      <c r="Q4" s="6"/>
      <c r="R4" s="6"/>
      <c r="S4" s="6"/>
      <c r="T4" s="6"/>
      <c r="U4" s="6"/>
      <c r="V4" s="6">
        <v>1</v>
      </c>
      <c r="W4" s="62">
        <f>IF(ISNUMBER($G$33),$G$33,0)</f>
        <v>0</v>
      </c>
      <c r="X4" s="63">
        <f>0.00508*$D$29*(EXP((-0.29262488+0.015353171*($G$29+Y4)-0.00021252808*($G$29+Y4)^2)/(1-0.01319877*($G$29+Y4)+0.00015202596*($G$29+Y4)^2+0.00000045682417*($G$29+Y4)^3))*1/(0.00020020228-0.0000037499594*((0.0004*PI()*$B$40*0.06*W4)/((PI()*LN($B$29/$C$29))/((1/$C$29-1/$B$29)/2.54)))-0.00014238677*((0.0004*PI()*$B$40*0.06*W4)/((PI()*LN($B$29/$C$29))/((1/$C$29-1/$B$29)/2.54)))^2+0.0035452867*((0.0004*PI()*$B$40*0.06*W4)/((PI()*LN($B$29/$C$29))/((1/$C$29-1/$B$29)/2.54)))^3-0.0028614245*((0.0004*PI()*$B$40*0.06*W4)/((PI()*LN($B$29/$C$29))/((1/$C$29-1/$B$29)/2.54)))^4+0.00079295177*((0.0004*PI()*$B$40*0.06*W4)/((PI()*LN($B$29/$C$29))/((1/$C$29-1/$B$29)/2.54)))^5))*LN($B$29/$C$29)*$B$40*$B$40</f>
        <v>946.6474192889465</v>
      </c>
      <c r="Y4" s="63">
        <f>0.3*Z4-0.0008*Z4^1.5</f>
        <v>0</v>
      </c>
      <c r="Z4" s="64">
        <f>(W4)^2*($E$40+0.00393*(0.3*((W4)^2*$E$40*0.001)-0.0008*((W4)^2*$E$40*0.001)^1.5)*$E$40)*0.001</f>
        <v>0</v>
      </c>
      <c r="AA4" s="1"/>
      <c r="AB4" s="62">
        <f>IF(ISNUMBER($Q$33),$Q$33,0)</f>
        <v>0</v>
      </c>
      <c r="AC4" s="63">
        <f>0.3*AD4-0.0008*AD4^1.5</f>
        <v>0</v>
      </c>
      <c r="AD4" s="64">
        <f>AB4^2*($O$34+0.00393*(0.3*(AB4^2*$O$34*0.001)-0.0008*(AB4^2*$O$34*0.001)^1.5)*$O$34)*0.004</f>
        <v>0</v>
      </c>
      <c r="AE4" s="6"/>
    </row>
    <row r="5" spans="1:31" ht="12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44"/>
      <c r="L5" s="6"/>
      <c r="M5" s="6"/>
      <c r="N5" s="6"/>
      <c r="O5" s="6"/>
      <c r="P5" s="6"/>
      <c r="Q5" s="6"/>
      <c r="R5" s="6"/>
      <c r="S5" s="6"/>
      <c r="T5" s="6"/>
      <c r="U5" s="6"/>
      <c r="V5" s="6">
        <f>V4+1</f>
        <v>2</v>
      </c>
      <c r="W5" s="57">
        <f>IF(ISNUMBER($G$33),$G$33,W4+10)</f>
        <v>10</v>
      </c>
      <c r="X5" s="54">
        <f>0.00508*$D$29*(EXP((-0.29262488+0.015353171*($G$29+Y5)-0.00021252808*($G$29+Y5)^2)/(1-0.01319877*($G$29+Y5)+0.00015202596*($G$29+Y5)^2+0.00000045682417*($G$29+Y5)^3))*1/(0.00020020228-0.0000037499594*((0.0004*PI()*$B$40*0.06*W5)/((PI()*LN($B$29/$C$29))/((1/$C$29-1/$B$29)/2.54)))-0.00014238677*((0.0004*PI()*$B$40*0.06*W5)/((PI()*LN($B$29/$C$29))/((1/$C$29-1/$B$29)/2.54)))^2+0.0035452867*((0.0004*PI()*$B$40*0.06*W5)/((PI()*LN($B$29/$C$29))/((1/$C$29-1/$B$29)/2.54)))^3-0.0028614245*((0.0004*PI()*$B$40*0.06*W5)/((PI()*LN($B$29/$C$29))/((1/$C$29-1/$B$29)/2.54)))^4+0.00079295177*((0.0004*PI()*$B$40*0.06*W5)/((PI()*LN($B$29/$C$29))/((1/$C$29-1/$B$29)/2.54)))^5))*LN($B$29/$C$29)*$B$40*$B$40</f>
        <v>947.4238466260177</v>
      </c>
      <c r="Y5" s="54">
        <f>0.3*Z5-0.0008*Z5^1.5</f>
        <v>0.019529452090826106</v>
      </c>
      <c r="Z5" s="58">
        <f>(W5)^2*($E$40+0.00393*(0.3*((W5)^2*$E$40*0.001)-0.0008*((W5)^2*$E$40*0.001)^1.5)*$E$40)*0.001</f>
        <v>0.0651425105509846</v>
      </c>
      <c r="AA5" s="6"/>
      <c r="AB5" s="57">
        <f>IF(ISNUMBER($Q$33),$Q$33,AB4+10)</f>
        <v>10</v>
      </c>
      <c r="AC5" s="54">
        <f>0.3*AD5-0.0008*AD5^1.5</f>
        <v>0.01519881512305568</v>
      </c>
      <c r="AD5" s="58">
        <f>AB5^2*($O$34+0.00393*(0.3*(AB5^2*$O$34*0.001)-0.0008*(AB5^2*$O$34*0.001)^1.5)*$O$34)*0.004</f>
        <v>0.05069315343558362</v>
      </c>
      <c r="AE5" s="6"/>
    </row>
    <row r="6" spans="1:31" ht="12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44"/>
      <c r="L6" s="6"/>
      <c r="M6" s="6"/>
      <c r="N6" s="6"/>
      <c r="O6" s="6"/>
      <c r="P6" s="6"/>
      <c r="Q6" s="6"/>
      <c r="R6" s="6"/>
      <c r="S6" s="6"/>
      <c r="T6" s="6"/>
      <c r="U6" s="6"/>
      <c r="V6" s="6">
        <f aca="true" t="shared" si="0" ref="V6:V54">V5+1</f>
        <v>3</v>
      </c>
      <c r="W6" s="57">
        <f>IF(ISNUMBER($G$33),$G$33,W5+10)</f>
        <v>20</v>
      </c>
      <c r="X6" s="54">
        <f>0.00508*$D$29*(EXP((-0.29262488+0.015353171*($G$29+Y6)-0.00021252808*($G$29+Y6)^2)/(1-0.01319877*($G$29+Y6)+0.00015202596*($G$29+Y6)^2+0.00000045682417*($G$29+Y6)^3))*1/(0.00020020228-0.0000037499594*((0.0004*PI()*$B$40*0.06*W6)/((PI()*LN($B$29/$C$29))/((1/$C$29-1/$B$29)/2.54)))-0.00014238677*((0.0004*PI()*$B$40*0.06*W6)/((PI()*LN($B$29/$C$29))/((1/$C$29-1/$B$29)/2.54)))^2+0.0035452867*((0.0004*PI()*$B$40*0.06*W6)/((PI()*LN($B$29/$C$29))/((1/$C$29-1/$B$29)/2.54)))^3-0.0028614245*((0.0004*PI()*$B$40*0.06*W6)/((PI()*LN($B$29/$C$29))/((1/$C$29-1/$B$29)/2.54)))^4+0.00079295177*((0.0004*PI()*$B$40*0.06*W6)/((PI()*LN($B$29/$C$29))/((1/$C$29-1/$B$29)/2.54)))^5))*LN($B$29/$C$29)*$B$40*$B$40</f>
        <v>947.3371601215757</v>
      </c>
      <c r="Y6" s="54">
        <f aca="true" t="shared" si="1" ref="Y6:Y54">0.3*Z6-0.0008*Z6^1.5</f>
        <v>0.07808254729812865</v>
      </c>
      <c r="Z6" s="58">
        <f>(W6)^2*($E$40+0.00393*(0.3*((W6)^2*$E$40*0.001)-0.0008*((W6)^2*$E$40*0.001)^1.5)*$E$40)*0.001</f>
        <v>0.2606299753607109</v>
      </c>
      <c r="AA6" s="6"/>
      <c r="AB6" s="57">
        <f>IF(ISNUMBER($Q$33),$Q$33,AB5+10)</f>
        <v>20</v>
      </c>
      <c r="AC6" s="54">
        <f aca="true" t="shared" si="2" ref="AC6:AC44">0.3*AD6-0.0008*AD6^1.5</f>
        <v>0.06076145677260501</v>
      </c>
      <c r="AD6" s="58">
        <f>AB6^2*($O$34+0.00393*(0.3*(AB6^2*$O$34*0.001)-0.0008*(AB6^2*$O$34*0.001)^1.5)*$O$34)*0.004</f>
        <v>0.20278169647196517</v>
      </c>
      <c r="AE6" s="6"/>
    </row>
    <row r="7" spans="1:31" ht="12" customHeight="1">
      <c r="A7" s="14"/>
      <c r="B7" s="6"/>
      <c r="C7" s="6"/>
      <c r="D7" s="6"/>
      <c r="E7" s="6"/>
      <c r="F7" s="6"/>
      <c r="G7" s="6"/>
      <c r="H7" s="6"/>
      <c r="I7" s="6"/>
      <c r="J7" s="6"/>
      <c r="K7" s="44"/>
      <c r="L7" s="6"/>
      <c r="M7" s="6"/>
      <c r="N7" s="6"/>
      <c r="O7" s="6"/>
      <c r="P7" s="6"/>
      <c r="Q7" s="6"/>
      <c r="R7" s="6"/>
      <c r="S7" s="6"/>
      <c r="T7" s="6"/>
      <c r="U7" s="6"/>
      <c r="V7" s="6">
        <f t="shared" si="0"/>
        <v>4</v>
      </c>
      <c r="W7" s="57">
        <f>IF(ISNUMBER($G$33),$G$33,W6+10)</f>
        <v>30</v>
      </c>
      <c r="X7" s="54">
        <f>0.00508*$D$29*(EXP((-0.29262488+0.015353171*($G$29+Y7)-0.00021252808*($G$29+Y7)^2)/(1-0.01319877*($G$29+Y7)+0.00015202596*($G$29+Y7)^2+0.00000045682417*($G$29+Y7)^3))*1/(0.00020020228-0.0000037499594*((0.0004*PI()*$B$40*0.06*W7)/((PI()*LN($B$29/$C$29))/((1/$C$29-1/$B$29)/2.54)))-0.00014238677*((0.0004*PI()*$B$40*0.06*W7)/((PI()*LN($B$29/$C$29))/((1/$C$29-1/$B$29)/2.54)))^2+0.0035452867*((0.0004*PI()*$B$40*0.06*W7)/((PI()*LN($B$29/$C$29))/((1/$C$29-1/$B$29)/2.54)))^3-0.0028614245*((0.0004*PI()*$B$40*0.06*W7)/((PI()*LN($B$29/$C$29))/((1/$C$29-1/$B$29)/2.54)))^4+0.00079295177*((0.0004*PI()*$B$40*0.06*W7)/((PI()*LN($B$29/$C$29))/((1/$C$29-1/$B$29)/2.54)))^5))*LN($B$29/$C$29)*$B$40*$B$40</f>
        <v>944.4246299553854</v>
      </c>
      <c r="Y7" s="54">
        <f t="shared" si="1"/>
        <v>0.17563313149486537</v>
      </c>
      <c r="Z7" s="58">
        <f>(W7)^2*($E$40+0.00393*(0.3*((W7)^2*$E$40*0.001)-0.0008*((W7)^2*$E$40*0.001)^1.5)*$E$40)*0.001</f>
        <v>0.5866419691988188</v>
      </c>
      <c r="AA7" s="6"/>
      <c r="AB7" s="57">
        <f>IF(ISNUMBER($Q$33),$Q$33,AB6+10)</f>
        <v>30</v>
      </c>
      <c r="AC7" s="54">
        <f t="shared" si="2"/>
        <v>0.13664128002066717</v>
      </c>
      <c r="AD7" s="58">
        <f>AB7^2*($O$34+0.00393*(0.3*(AB7^2*$O$34*0.001)-0.0008*(AB7^2*$O$34*0.001)^1.5)*$O$34)*0.004</f>
        <v>0.4562928622910485</v>
      </c>
      <c r="AE7" s="6"/>
    </row>
    <row r="8" spans="1:31" ht="12" customHeight="1">
      <c r="A8" s="9"/>
      <c r="B8" s="6"/>
      <c r="C8" s="6"/>
      <c r="D8" s="6"/>
      <c r="E8" s="6"/>
      <c r="F8" s="6"/>
      <c r="G8" s="6"/>
      <c r="H8" s="6"/>
      <c r="I8" s="6"/>
      <c r="J8" s="6"/>
      <c r="K8" s="44"/>
      <c r="L8" s="6"/>
      <c r="M8" s="6"/>
      <c r="N8" s="6"/>
      <c r="O8" s="6"/>
      <c r="P8" s="6"/>
      <c r="Q8" s="6"/>
      <c r="R8" s="6"/>
      <c r="S8" s="6"/>
      <c r="T8" s="6"/>
      <c r="U8" s="6"/>
      <c r="V8" s="6">
        <f t="shared" si="0"/>
        <v>5</v>
      </c>
      <c r="W8" s="57">
        <f>IF(ISNUMBER($G$33),$G$33,W7+10)</f>
        <v>40</v>
      </c>
      <c r="X8" s="54">
        <f>0.00508*$D$29*(EXP((-0.29262488+0.015353171*($G$29+Y8)-0.00021252808*($G$29+Y8)^2)/(1-0.01319877*($G$29+Y8)+0.00015202596*($G$29+Y8)^2+0.00000045682417*($G$29+Y8)^3))*1/(0.00020020228-0.0000037499594*((0.0004*PI()*$B$40*0.06*W8)/((PI()*LN($B$29/$C$29))/((1/$C$29-1/$B$29)/2.54)))-0.00014238677*((0.0004*PI()*$B$40*0.06*W8)/((PI()*LN($B$29/$C$29))/((1/$C$29-1/$B$29)/2.54)))^2+0.0035452867*((0.0004*PI()*$B$40*0.06*W8)/((PI()*LN($B$29/$C$29))/((1/$C$29-1/$B$29)/2.54)))^3-0.0028614245*((0.0004*PI()*$B$40*0.06*W8)/((PI()*LN($B$29/$C$29))/((1/$C$29-1/$B$29)/2.54)))^4+0.00079295177*((0.0004*PI()*$B$40*0.06*W8)/((PI()*LN($B$29/$C$29))/((1/$C$29-1/$B$29)/2.54)))^5))*LN($B$29/$C$29)*$B$40*$B$40</f>
        <v>936.9984092117141</v>
      </c>
      <c r="Y8" s="54">
        <f t="shared" si="1"/>
        <v>0.31219045620579045</v>
      </c>
      <c r="Z8" s="58">
        <f>(W8)^2*($E$40+0.00393*(0.3*((W8)^2*$E$40*0.001)-0.0008*((W8)^2*$E$40*0.001)^1.5)*$E$40)*0.001</f>
        <v>1.0434773067102416</v>
      </c>
      <c r="AA8" s="6"/>
      <c r="AB8" s="57">
        <f>IF(ISNUMBER($Q$33),$Q$33,AB7+10)</f>
        <v>40</v>
      </c>
      <c r="AC8" s="54">
        <f t="shared" si="2"/>
        <v>0.24279702800139502</v>
      </c>
      <c r="AD8" s="58">
        <f>AB8^2*($O$34+0.00393*(0.3*(AB8^2*$O$34*0.001)-0.0008*(AB8^2*$O$34*0.001)^1.5)*$O$34)*0.004</f>
        <v>0.8112720076963351</v>
      </c>
      <c r="AE8" s="6"/>
    </row>
    <row r="9" spans="1:31" ht="12" customHeight="1">
      <c r="A9" s="9"/>
      <c r="B9" s="6"/>
      <c r="C9" s="6"/>
      <c r="D9" s="6"/>
      <c r="E9" s="6"/>
      <c r="F9" s="6"/>
      <c r="G9" s="6"/>
      <c r="H9" s="6"/>
      <c r="I9" s="6"/>
      <c r="J9" s="6"/>
      <c r="K9" s="44"/>
      <c r="L9" s="6"/>
      <c r="M9" s="6"/>
      <c r="N9" s="6"/>
      <c r="O9" s="6"/>
      <c r="P9" s="6"/>
      <c r="Q9" s="6"/>
      <c r="R9" s="6"/>
      <c r="S9" s="6"/>
      <c r="T9" s="6"/>
      <c r="U9" s="6"/>
      <c r="V9" s="6">
        <f t="shared" si="0"/>
        <v>6</v>
      </c>
      <c r="W9" s="57">
        <f>IF(ISNUMBER($G$33),$G$33,W8+10)</f>
        <v>50</v>
      </c>
      <c r="X9" s="54">
        <f>0.00508*$D$29*(EXP((-0.29262488+0.015353171*($G$29+Y9)-0.00021252808*($G$29+Y9)^2)/(1-0.01319877*($G$29+Y9)+0.00015202596*($G$29+Y9)^2+0.00000045682417*($G$29+Y9)^3))*1/(0.00020020228-0.0000037499594*((0.0004*PI()*$B$40*0.06*W9)/((PI()*LN($B$29/$C$29))/((1/$C$29-1/$B$29)/2.54)))-0.00014238677*((0.0004*PI()*$B$40*0.06*W9)/((PI()*LN($B$29/$C$29))/((1/$C$29-1/$B$29)/2.54)))^2+0.0035452867*((0.0004*PI()*$B$40*0.06*W9)/((PI()*LN($B$29/$C$29))/((1/$C$29-1/$B$29)/2.54)))^3-0.0028614245*((0.0004*PI()*$B$40*0.06*W9)/((PI()*LN($B$29/$C$29))/((1/$C$29-1/$B$29)/2.54)))^4+0.00079295177*((0.0004*PI()*$B$40*0.06*W9)/((PI()*LN($B$29/$C$29))/((1/$C$29-1/$B$29)/2.54)))^5))*LN($B$29/$C$29)*$B$40*$B$40</f>
        <v>923.7611754100553</v>
      </c>
      <c r="Y9" s="54">
        <f t="shared" si="1"/>
        <v>0.48779887358547497</v>
      </c>
      <c r="Z9" s="58">
        <f>(W9)^2*($E$40+0.00393*(0.3*((W9)^2*$E$40*0.001)-0.0008*((W9)^2*$E$40*0.001)^1.5)*$E$40)*0.001</f>
        <v>1.63155363386852</v>
      </c>
      <c r="AA9" s="6"/>
      <c r="AB9" s="57">
        <f>IF(ISNUMBER($Q$33),$Q$33,AB8+10)</f>
        <v>50</v>
      </c>
      <c r="AC9" s="54">
        <f t="shared" si="2"/>
        <v>0.37919279926635213</v>
      </c>
      <c r="AD9" s="58">
        <f>AB9^2*($O$34+0.00393*(0.3*(AB9^2*$O$34*0.001)-0.0008*(AB9^2*$O$34*0.001)^1.5)*$O$34)*0.004</f>
        <v>1.2677825858274907</v>
      </c>
      <c r="AE9" s="6"/>
    </row>
    <row r="10" spans="1:31" ht="12" customHeight="1">
      <c r="A10" s="28"/>
      <c r="B10" s="6"/>
      <c r="C10" s="6"/>
      <c r="D10" s="6"/>
      <c r="E10" s="6"/>
      <c r="F10" s="6"/>
      <c r="G10" s="6"/>
      <c r="H10" s="6"/>
      <c r="I10" s="6"/>
      <c r="J10" s="6"/>
      <c r="K10" s="44"/>
      <c r="L10" s="6"/>
      <c r="M10" s="6"/>
      <c r="N10" s="6"/>
      <c r="O10" s="6"/>
      <c r="P10" s="6"/>
      <c r="Q10" s="6"/>
      <c r="R10" s="6"/>
      <c r="S10" s="6"/>
      <c r="T10" s="6"/>
      <c r="U10" s="6"/>
      <c r="V10" s="6">
        <f t="shared" si="0"/>
        <v>7</v>
      </c>
      <c r="W10" s="57">
        <f>IF(ISNUMBER($G$33),$G$33,W9+10)</f>
        <v>60</v>
      </c>
      <c r="X10" s="54">
        <f>0.00508*$D$29*(EXP((-0.29262488+0.015353171*($G$29+Y10)-0.00021252808*($G$29+Y10)^2)/(1-0.01319877*($G$29+Y10)+0.00015202596*($G$29+Y10)^2+0.00000045682417*($G$29+Y10)^3))*1/(0.00020020228-0.0000037499594*((0.0004*PI()*$B$40*0.06*W10)/((PI()*LN($B$29/$C$29))/((1/$C$29-1/$B$29)/2.54)))-0.00014238677*((0.0004*PI()*$B$40*0.06*W10)/((PI()*LN($B$29/$C$29))/((1/$C$29-1/$B$29)/2.54)))^2+0.0035452867*((0.0004*PI()*$B$40*0.06*W10)/((PI()*LN($B$29/$C$29))/((1/$C$29-1/$B$29)/2.54)))^3-0.0028614245*((0.0004*PI()*$B$40*0.06*W10)/((PI()*LN($B$29/$C$29))/((1/$C$29-1/$B$29)/2.54)))^4+0.00079295177*((0.0004*PI()*$B$40*0.06*W10)/((PI()*LN($B$29/$C$29))/((1/$C$29-1/$B$29)/2.54)))^5))*LN($B$29/$C$29)*$B$40*$B$40</f>
        <v>903.9272946172255</v>
      </c>
      <c r="Y10" s="54">
        <f t="shared" si="1"/>
        <v>0.7025375317106685</v>
      </c>
      <c r="Z10" s="58">
        <f>(W10)^2*($E$40+0.00393*(0.3*((W10)^2*$E$40*0.001)-0.0008*((W10)^2*$E$40*0.001)^1.5)*$E$40)*0.001</f>
        <v>2.3514070194291152</v>
      </c>
      <c r="AA10" s="6"/>
      <c r="AB10" s="57">
        <f>IF(ISNUMBER($Q$33),$Q$33,AB9+10)</f>
        <v>60</v>
      </c>
      <c r="AC10" s="54">
        <f t="shared" si="2"/>
        <v>0.5457980151725557</v>
      </c>
      <c r="AD10" s="58">
        <f>AB10^2*($O$34+0.00393*(0.3*(AB10^2*$O$34*0.001)-0.0008*(AB10^2*$O$34*0.001)^1.5)*$O$34)*0.004</f>
        <v>1.8259061188749133</v>
      </c>
      <c r="AE10" s="6"/>
    </row>
    <row r="11" spans="1:31" ht="12" customHeight="1">
      <c r="A11" s="1"/>
      <c r="B11" s="6"/>
      <c r="C11" s="6"/>
      <c r="D11" s="6"/>
      <c r="E11" s="6"/>
      <c r="F11" s="6"/>
      <c r="G11" s="6"/>
      <c r="H11" s="6"/>
      <c r="I11" s="6"/>
      <c r="J11" s="6"/>
      <c r="K11" s="44"/>
      <c r="L11" s="6"/>
      <c r="M11" s="6"/>
      <c r="N11" s="6"/>
      <c r="O11" s="6"/>
      <c r="P11" s="6"/>
      <c r="Q11" s="6"/>
      <c r="R11" s="6"/>
      <c r="S11" s="6"/>
      <c r="T11" s="6"/>
      <c r="U11" s="6"/>
      <c r="V11" s="6">
        <f t="shared" si="0"/>
        <v>8</v>
      </c>
      <c r="W11" s="57">
        <f>IF(ISNUMBER($G$33),$G$33,W10+10)</f>
        <v>70</v>
      </c>
      <c r="X11" s="54">
        <f>0.00508*$D$29*(EXP((-0.29262488+0.015353171*($G$29+Y11)-0.00021252808*($G$29+Y11)^2)/(1-0.01319877*($G$29+Y11)+0.00015202596*($G$29+Y11)^2+0.00000045682417*($G$29+Y11)^3))*1/(0.00020020228-0.0000037499594*((0.0004*PI()*$B$40*0.06*W11)/((PI()*LN($B$29/$C$29))/((1/$C$29-1/$B$29)/2.54)))-0.00014238677*((0.0004*PI()*$B$40*0.06*W11)/((PI()*LN($B$29/$C$29))/((1/$C$29-1/$B$29)/2.54)))^2+0.0035452867*((0.0004*PI()*$B$40*0.06*W11)/((PI()*LN($B$29/$C$29))/((1/$C$29-1/$B$29)/2.54)))^3-0.0028614245*((0.0004*PI()*$B$40*0.06*W11)/((PI()*LN($B$29/$C$29))/((1/$C$29-1/$B$29)/2.54)))^4+0.00079295177*((0.0004*PI()*$B$40*0.06*W11)/((PI()*LN($B$29/$C$29))/((1/$C$29-1/$B$29)/2.54)))^5))*LN($B$29/$C$29)*$B$40*$B$40</f>
        <v>877.3040816127661</v>
      </c>
      <c r="Y11" s="54">
        <f t="shared" si="1"/>
        <v>0.9565200700452255</v>
      </c>
      <c r="Z11" s="58">
        <f>(W11)^2*($E$40+0.00393*(0.3*((W11)^2*$E$40*0.001)-0.0008*((W11)^2*$E$40*0.001)^1.5)*$E$40)*0.001</f>
        <v>3.2036915463827245</v>
      </c>
      <c r="AA11" s="6"/>
      <c r="AB11" s="57">
        <f>IF(ISNUMBER($Q$33),$Q$33,AB10+10)</f>
        <v>70</v>
      </c>
      <c r="AC11" s="54">
        <f t="shared" si="2"/>
        <v>0.7425873872995</v>
      </c>
      <c r="AD11" s="58">
        <f>AB11^2*($O$34+0.00393*(0.3*(AB11^2*$O$34*0.001)-0.0008*(AB11^2*$O$34*0.001)^1.5)*$O$34)*0.004</f>
        <v>2.4857421707943</v>
      </c>
      <c r="AE11" s="6"/>
    </row>
    <row r="12" spans="1:31" ht="12" customHeight="1">
      <c r="A12" s="2"/>
      <c r="B12" s="6"/>
      <c r="C12" s="6"/>
      <c r="D12" s="6"/>
      <c r="E12" s="6"/>
      <c r="F12" s="6"/>
      <c r="G12" s="6"/>
      <c r="H12" s="6"/>
      <c r="I12" s="6"/>
      <c r="J12" s="6"/>
      <c r="K12" s="44"/>
      <c r="L12" s="6"/>
      <c r="M12" s="6"/>
      <c r="N12" s="6"/>
      <c r="O12" s="6"/>
      <c r="P12" s="6"/>
      <c r="Q12" s="6"/>
      <c r="R12" s="6"/>
      <c r="S12" s="6"/>
      <c r="T12" s="6"/>
      <c r="U12" s="6"/>
      <c r="V12" s="6">
        <f t="shared" si="0"/>
        <v>9</v>
      </c>
      <c r="W12" s="57">
        <f>IF(ISNUMBER($G$33),$G$33,W11+10)</f>
        <v>80</v>
      </c>
      <c r="X12" s="54">
        <f>0.00508*$D$29*(EXP((-0.29262488+0.015353171*($G$29+Y12)-0.00021252808*($G$29+Y12)^2)/(1-0.01319877*($G$29+Y12)+0.00015202596*($G$29+Y12)^2+0.00000045682417*($G$29+Y12)^3))*1/(0.00020020228-0.0000037499594*((0.0004*PI()*$B$40*0.06*W12)/((PI()*LN($B$29/$C$29))/((1/$C$29-1/$B$29)/2.54)))-0.00014238677*((0.0004*PI()*$B$40*0.06*W12)/((PI()*LN($B$29/$C$29))/((1/$C$29-1/$B$29)/2.54)))^2+0.0035452867*((0.0004*PI()*$B$40*0.06*W12)/((PI()*LN($B$29/$C$29))/((1/$C$29-1/$B$29)/2.54)))^3-0.0028614245*((0.0004*PI()*$B$40*0.06*W12)/((PI()*LN($B$29/$C$29))/((1/$C$29-1/$B$29)/2.54)))^4+0.00079295177*((0.0004*PI()*$B$40*0.06*W12)/((PI()*LN($B$29/$C$29))/((1/$C$29-1/$B$29)/2.54)))^5))*LN($B$29/$C$29)*$B$40*$B$40</f>
        <v>844.2975142024729</v>
      </c>
      <c r="Y12" s="54">
        <f t="shared" si="1"/>
        <v>1.2498943149379287</v>
      </c>
      <c r="Z12" s="58">
        <f>(W12)^2*($E$40+0.00393*(0.3*((W12)^2*$E$40*0.001)-0.0008*((W12)^2*$E$40*0.001)^1.5)*$E$40)*0.001</f>
        <v>4.189178903408594</v>
      </c>
      <c r="AA12" s="6"/>
      <c r="AB12" s="57">
        <f>IF(ISNUMBER($Q$33),$Q$33,AB11+10)</f>
        <v>80</v>
      </c>
      <c r="AC12" s="54">
        <f t="shared" si="2"/>
        <v>0.9695408848913994</v>
      </c>
      <c r="AD12" s="58">
        <f>AB12^2*($O$34+0.00393*(0.3*(AB12^2*$O$34*0.001)-0.0008*(AB12^2*$O$34*0.001)^1.5)*$O$34)*0.004</f>
        <v>3.2474083200212114</v>
      </c>
      <c r="AE12" s="6"/>
    </row>
    <row r="13" spans="1:31" ht="12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44"/>
      <c r="L13" s="6"/>
      <c r="M13" s="6"/>
      <c r="N13" s="6"/>
      <c r="O13" s="6"/>
      <c r="P13" s="6"/>
      <c r="Q13" s="6"/>
      <c r="R13" s="6"/>
      <c r="S13" s="6"/>
      <c r="T13" s="6"/>
      <c r="U13" s="6"/>
      <c r="V13" s="6">
        <f t="shared" si="0"/>
        <v>10</v>
      </c>
      <c r="W13" s="57">
        <f>IF(ISNUMBER($G$33),$G$33,W12+10)</f>
        <v>90</v>
      </c>
      <c r="X13" s="54">
        <f>0.00508*$D$29*(EXP((-0.29262488+0.015353171*($G$29+Y13)-0.00021252808*($G$29+Y13)^2)/(1-0.01319877*($G$29+Y13)+0.00015202596*($G$29+Y13)^2+0.00000045682417*($G$29+Y13)^3))*1/(0.00020020228-0.0000037499594*((0.0004*PI()*$B$40*0.06*W13)/((PI()*LN($B$29/$C$29))/((1/$C$29-1/$B$29)/2.54)))-0.00014238677*((0.0004*PI()*$B$40*0.06*W13)/((PI()*LN($B$29/$C$29))/((1/$C$29-1/$B$29)/2.54)))^2+0.0035452867*((0.0004*PI()*$B$40*0.06*W13)/((PI()*LN($B$29/$C$29))/((1/$C$29-1/$B$29)/2.54)))^3-0.0028614245*((0.0004*PI()*$B$40*0.06*W13)/((PI()*LN($B$29/$C$29))/((1/$C$29-1/$B$29)/2.54)))^4+0.00079295177*((0.0004*PI()*$B$40*0.06*W13)/((PI()*LN($B$29/$C$29))/((1/$C$29-1/$B$29)/2.54)))^5))*LN($B$29/$C$29)*$B$40*$B$40</f>
        <v>805.829929155344</v>
      </c>
      <c r="Y13" s="54">
        <f t="shared" si="1"/>
        <v>1.5828419750157716</v>
      </c>
      <c r="Z13" s="58">
        <f>(W13)^2*($E$40+0.00393*(0.3*((W13)^2*$E$40*0.001)-0.0008*((W13)^2*$E$40*0.001)^1.5)*$E$40)*0.001</f>
        <v>5.3087579763278345</v>
      </c>
      <c r="AA13" s="6"/>
      <c r="AB13" s="57">
        <f>IF(ISNUMBER($Q$33),$Q$33,AB12+10)</f>
        <v>90</v>
      </c>
      <c r="AC13" s="54">
        <f t="shared" si="2"/>
        <v>1.2266437023209116</v>
      </c>
      <c r="AD13" s="58">
        <f>AB13^2*($O$34+0.00393*(0.3*(AB13^2*$O$34*0.001)-0.0008*(AB13^2*$O$34*0.001)^1.5)*$O$34)*0.004</f>
        <v>4.111040132185646</v>
      </c>
      <c r="AE13" s="6"/>
    </row>
    <row r="14" spans="1:31" ht="12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44"/>
      <c r="L14" s="6"/>
      <c r="M14" s="6"/>
      <c r="N14" s="6"/>
      <c r="O14" s="6"/>
      <c r="P14" s="6"/>
      <c r="Q14" s="6"/>
      <c r="R14" s="6"/>
      <c r="S14" s="6"/>
      <c r="T14" s="6"/>
      <c r="U14" s="6"/>
      <c r="V14" s="6">
        <f t="shared" si="0"/>
        <v>11</v>
      </c>
      <c r="W14" s="57">
        <f>IF(ISNUMBER($G$33),$G$33,W13+10)</f>
        <v>100</v>
      </c>
      <c r="X14" s="54">
        <f>0.00508*$D$29*(EXP((-0.29262488+0.015353171*($G$29+Y14)-0.00021252808*($G$29+Y14)^2)/(1-0.01319877*($G$29+Y14)+0.00015202596*($G$29+Y14)^2+0.00000045682417*($G$29+Y14)^3))*1/(0.00020020228-0.0000037499594*((0.0004*PI()*$B$40*0.06*W14)/((PI()*LN($B$29/$C$29))/((1/$C$29-1/$B$29)/2.54)))-0.00014238677*((0.0004*PI()*$B$40*0.06*W14)/((PI()*LN($B$29/$C$29))/((1/$C$29-1/$B$29)/2.54)))^2+0.0035452867*((0.0004*PI()*$B$40*0.06*W14)/((PI()*LN($B$29/$C$29))/((1/$C$29-1/$B$29)/2.54)))^3-0.0028614245*((0.0004*PI()*$B$40*0.06*W14)/((PI()*LN($B$29/$C$29))/((1/$C$29-1/$B$29)/2.54)))^4+0.00079295177*((0.0004*PI()*$B$40*0.06*W14)/((PI()*LN($B$29/$C$29))/((1/$C$29-1/$B$29)/2.54)))^5))*LN($B$29/$C$29)*$B$40*$B$40</f>
        <v>763.1856656531716</v>
      </c>
      <c r="Y14" s="54">
        <f t="shared" si="1"/>
        <v>1.955578336337605</v>
      </c>
      <c r="Z14" s="58">
        <f>(W14)^2*($E$40+0.00393*(0.3*((W14)^2*$E$40*0.001)-0.0008*((W14)^2*$E$40*0.001)^1.5)*$E$40)*0.001</f>
        <v>6.563434439556733</v>
      </c>
      <c r="AA14" s="6"/>
      <c r="AB14" s="57">
        <f>IF(ISNUMBER($Q$33),$Q$33,AB13+10)</f>
        <v>100</v>
      </c>
      <c r="AC14" s="54">
        <f t="shared" si="2"/>
        <v>1.5138862265706152</v>
      </c>
      <c r="AD14" s="58">
        <f>AB14^2*($O$34+0.00393*(0.3*(AB14^2*$O$34*0.001)-0.0008*(AB14^2*$O$34*0.001)^1.5)*$O$34)*0.004</f>
        <v>5.076791132826596</v>
      </c>
      <c r="AE14" s="6"/>
    </row>
    <row r="15" spans="1:31" ht="12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44"/>
      <c r="L15" s="6"/>
      <c r="M15" s="6"/>
      <c r="N15" s="6"/>
      <c r="O15" s="6"/>
      <c r="P15" s="6"/>
      <c r="Q15" s="6"/>
      <c r="R15" s="6"/>
      <c r="S15" s="6"/>
      <c r="T15" s="6"/>
      <c r="U15" s="6"/>
      <c r="V15" s="6">
        <f t="shared" si="0"/>
        <v>12</v>
      </c>
      <c r="W15" s="57">
        <f>IF(ISNUMBER($G$33),$G$33,W14+10)</f>
        <v>110</v>
      </c>
      <c r="X15" s="54">
        <f>0.00508*$D$29*(EXP((-0.29262488+0.015353171*($G$29+Y15)-0.00021252808*($G$29+Y15)^2)/(1-0.01319877*($G$29+Y15)+0.00015202596*($G$29+Y15)^2+0.00000045682417*($G$29+Y15)^3))*1/(0.00020020228-0.0000037499594*((0.0004*PI()*$B$40*0.06*W15)/((PI()*LN($B$29/$C$29))/((1/$C$29-1/$B$29)/2.54)))-0.00014238677*((0.0004*PI()*$B$40*0.06*W15)/((PI()*LN($B$29/$C$29))/((1/$C$29-1/$B$29)/2.54)))^2+0.0035452867*((0.0004*PI()*$B$40*0.06*W15)/((PI()*LN($B$29/$C$29))/((1/$C$29-1/$B$29)/2.54)))^3-0.0028614245*((0.0004*PI()*$B$40*0.06*W15)/((PI()*LN($B$29/$C$29))/((1/$C$29-1/$B$29)/2.54)))^4+0.00079295177*((0.0004*PI()*$B$40*0.06*W15)/((PI()*LN($B$29/$C$29))/((1/$C$29-1/$B$29)/2.54)))^5))*LN($B$29/$C$29)*$B$40*$B$40</f>
        <v>717.8218837378042</v>
      </c>
      <c r="Y15" s="54">
        <f t="shared" si="1"/>
        <v>2.3683519571754856</v>
      </c>
      <c r="Z15" s="58">
        <f>(W15)^2*($E$40+0.00393*(0.3*((W15)^2*$E$40*0.001)-0.0008*((W15)^2*$E$40*0.001)^1.5)*$E$40)*0.001</f>
        <v>7.954330347560072</v>
      </c>
      <c r="AA15" s="6"/>
      <c r="AB15" s="57">
        <f>IF(ISNUMBER($Q$33),$Q$33,AB14+10)</f>
        <v>110</v>
      </c>
      <c r="AC15" s="54">
        <f t="shared" si="2"/>
        <v>1.831264004728558</v>
      </c>
      <c r="AD15" s="58">
        <f>AB15^2*($O$34+0.00393*(0.3*(AB15^2*$O$34*0.001)-0.0008*(AB15^2*$O$34*0.001)^1.5)*$O$34)*0.004</f>
        <v>6.1448327801066265</v>
      </c>
      <c r="AE15" s="6"/>
    </row>
    <row r="16" spans="1:31" ht="12" customHeight="1">
      <c r="A16" s="6"/>
      <c r="B16" s="6"/>
      <c r="C16" s="6"/>
      <c r="D16" s="6"/>
      <c r="E16" s="6"/>
      <c r="F16" s="6"/>
      <c r="G16" s="6"/>
      <c r="H16" s="6"/>
      <c r="I16" s="6"/>
      <c r="J16" s="7"/>
      <c r="K16" s="44"/>
      <c r="L16" s="6"/>
      <c r="M16" s="6"/>
      <c r="N16" s="6"/>
      <c r="O16" s="6"/>
      <c r="P16" s="6"/>
      <c r="Q16" s="6"/>
      <c r="R16" s="6"/>
      <c r="S16" s="6"/>
      <c r="T16" s="6"/>
      <c r="U16" s="6"/>
      <c r="V16" s="6">
        <f t="shared" si="0"/>
        <v>13</v>
      </c>
      <c r="W16" s="57">
        <f>IF(ISNUMBER($G$33),$G$33,W15+10)</f>
        <v>120</v>
      </c>
      <c r="X16" s="54">
        <f>0.00508*$D$29*(EXP((-0.29262488+0.015353171*($G$29+Y16)-0.00021252808*($G$29+Y16)^2)/(1-0.01319877*($G$29+Y16)+0.00015202596*($G$29+Y16)^2+0.00000045682417*($G$29+Y16)^3))*1/(0.00020020228-0.0000037499594*((0.0004*PI()*$B$40*0.06*W16)/((PI()*LN($B$29/$C$29))/((1/$C$29-1/$B$29)/2.54)))-0.00014238677*((0.0004*PI()*$B$40*0.06*W16)/((PI()*LN($B$29/$C$29))/((1/$C$29-1/$B$29)/2.54)))^2+0.0035452867*((0.0004*PI()*$B$40*0.06*W16)/((PI()*LN($B$29/$C$29))/((1/$C$29-1/$B$29)/2.54)))^3-0.0028614245*((0.0004*PI()*$B$40*0.06*W16)/((PI()*LN($B$29/$C$29))/((1/$C$29-1/$B$29)/2.54)))^4+0.00079295177*((0.0004*PI()*$B$40*0.06*W16)/((PI()*LN($B$29/$C$29))/((1/$C$29-1/$B$29)/2.54)))^5))*LN($B$29/$C$29)*$B$40*$B$40</f>
        <v>671.1872532025795</v>
      </c>
      <c r="Y16" s="54">
        <f t="shared" si="1"/>
        <v>2.821444362293623</v>
      </c>
      <c r="Z16" s="58">
        <f>(W16)^2*($E$40+0.00393*(0.3*((W16)^2*$E$40*0.001)-0.0008*((W16)^2*$E$40*0.001)^1.5)*$E$40)*0.001</f>
        <v>9.482683726304431</v>
      </c>
      <c r="AA16" s="6"/>
      <c r="AB16" s="57">
        <f>IF(ISNUMBER($Q$33),$Q$33,AB15+10)</f>
        <v>120</v>
      </c>
      <c r="AC16" s="54">
        <f t="shared" si="2"/>
        <v>2.1787777114941935</v>
      </c>
      <c r="AD16" s="58">
        <f>AB16^2*($O$34+0.00393*(0.3*(AB16^2*$O$34*0.001)-0.0008*(AB16^2*$O$34*0.001)^1.5)*$O$34)*0.004</f>
        <v>7.315354437526431</v>
      </c>
      <c r="AE16" s="6"/>
    </row>
    <row r="17" spans="1:31" ht="12" customHeight="1">
      <c r="A17" s="6"/>
      <c r="B17" s="6"/>
      <c r="C17" s="6"/>
      <c r="D17" s="6"/>
      <c r="E17" s="6"/>
      <c r="F17" s="6"/>
      <c r="G17" s="6"/>
      <c r="H17" s="6"/>
      <c r="I17" s="6"/>
      <c r="J17" s="7"/>
      <c r="K17" s="44"/>
      <c r="L17" s="6"/>
      <c r="M17" s="6"/>
      <c r="N17" s="6"/>
      <c r="O17" s="6"/>
      <c r="P17" s="6"/>
      <c r="Q17" s="6"/>
      <c r="R17" s="6"/>
      <c r="S17" s="6"/>
      <c r="T17" s="6"/>
      <c r="U17" s="6"/>
      <c r="V17" s="6">
        <f t="shared" si="0"/>
        <v>14</v>
      </c>
      <c r="W17" s="57">
        <f>IF(ISNUMBER($G$33),$G$33,W16+10)</f>
        <v>130</v>
      </c>
      <c r="X17" s="54">
        <f>0.00508*$D$29*(EXP((-0.29262488+0.015353171*($G$29+Y17)-0.00021252808*($G$29+Y17)^2)/(1-0.01319877*($G$29+Y17)+0.00015202596*($G$29+Y17)^2+0.00000045682417*($G$29+Y17)^3))*1/(0.00020020228-0.0000037499594*((0.0004*PI()*$B$40*0.06*W17)/((PI()*LN($B$29/$C$29))/((1/$C$29-1/$B$29)/2.54)))-0.00014238677*((0.0004*PI()*$B$40*0.06*W17)/((PI()*LN($B$29/$C$29))/((1/$C$29-1/$B$29)/2.54)))^2+0.0035452867*((0.0004*PI()*$B$40*0.06*W17)/((PI()*LN($B$29/$C$29))/((1/$C$29-1/$B$29)/2.54)))^3-0.0028614245*((0.0004*PI()*$B$40*0.06*W17)/((PI()*LN($B$29/$C$29))/((1/$C$29-1/$B$29)/2.54)))^4+0.00079295177*((0.0004*PI()*$B$40*0.06*W17)/((PI()*LN($B$29/$C$29))/((1/$C$29-1/$B$29)/2.54)))^5))*LN($B$29/$C$29)*$B$40*$B$40</f>
        <v>624.5812009954211</v>
      </c>
      <c r="Y17" s="54">
        <f t="shared" si="1"/>
        <v>3.315169736597455</v>
      </c>
      <c r="Z17" s="58">
        <f>(W17)^2*($E$40+0.00393*(0.3*((W17)^2*$E$40*0.001)-0.0008*((W17)^2*$E$40*0.001)^1.5)*$E$40)*0.001</f>
        <v>11.14984816471152</v>
      </c>
      <c r="AA17" s="6"/>
      <c r="AB17" s="57">
        <f>IF(ISNUMBER($Q$33),$Q$33,AB16+10)</f>
        <v>130</v>
      </c>
      <c r="AC17" s="54">
        <f t="shared" si="2"/>
        <v>2.5564331166910654</v>
      </c>
      <c r="AD17" s="58">
        <f>AB17^2*($O$34+0.00393*(0.3*(AB17^2*$O$34*0.001)-0.0008*(AB17^2*$O$34*0.001)^1.5)*$O$34)*0.004</f>
        <v>8.588563346639415</v>
      </c>
      <c r="AE17" s="6"/>
    </row>
    <row r="18" spans="1:31" ht="12" customHeight="1">
      <c r="A18" s="6"/>
      <c r="B18" s="6"/>
      <c r="C18" s="6"/>
      <c r="D18" s="6"/>
      <c r="E18" s="6"/>
      <c r="F18" s="6"/>
      <c r="G18" s="6"/>
      <c r="H18" s="6"/>
      <c r="I18" s="6"/>
      <c r="J18" s="7"/>
      <c r="K18" s="44"/>
      <c r="L18" s="6"/>
      <c r="M18" s="6"/>
      <c r="N18" s="6"/>
      <c r="O18" s="6"/>
      <c r="P18" s="6"/>
      <c r="Q18" s="6"/>
      <c r="R18" s="6"/>
      <c r="S18" s="6"/>
      <c r="T18" s="6"/>
      <c r="U18" s="6"/>
      <c r="V18" s="6">
        <f t="shared" si="0"/>
        <v>15</v>
      </c>
      <c r="W18" s="57">
        <f>IF(ISNUMBER($G$33),$G$33,W17+10)</f>
        <v>140</v>
      </c>
      <c r="X18" s="54">
        <f>0.00508*$D$29*(EXP((-0.29262488+0.015353171*($G$29+Y18)-0.00021252808*($G$29+Y18)^2)/(1-0.01319877*($G$29+Y18)+0.00015202596*($G$29+Y18)^2+0.00000045682417*($G$29+Y18)^3))*1/(0.00020020228-0.0000037499594*((0.0004*PI()*$B$40*0.06*W18)/((PI()*LN($B$29/$C$29))/((1/$C$29-1/$B$29)/2.54)))-0.00014238677*((0.0004*PI()*$B$40*0.06*W18)/((PI()*LN($B$29/$C$29))/((1/$C$29-1/$B$29)/2.54)))^2+0.0035452867*((0.0004*PI()*$B$40*0.06*W18)/((PI()*LN($B$29/$C$29))/((1/$C$29-1/$B$29)/2.54)))^3-0.0028614245*((0.0004*PI()*$B$40*0.06*W18)/((PI()*LN($B$29/$C$29))/((1/$C$29-1/$B$29)/2.54)))^4+0.00079295177*((0.0004*PI()*$B$40*0.06*W18)/((PI()*LN($B$29/$C$29))/((1/$C$29-1/$B$29)/2.54)))^5))*LN($B$29/$C$29)*$B$40*$B$40</f>
        <v>579.0685025490379</v>
      </c>
      <c r="Y18" s="54">
        <f t="shared" si="1"/>
        <v>3.849874618028098</v>
      </c>
      <c r="Z18" s="58">
        <f>(W18)^2*($E$40+0.00393*(0.3*((W18)^2*$E$40*0.001)-0.0008*((W18)^2*$E$40*0.001)^1.5)*$E$40)*0.001</f>
        <v>12.957292406111476</v>
      </c>
      <c r="AA18" s="6"/>
      <c r="AB18" s="57">
        <f>IF(ISNUMBER($Q$33),$Q$33,AB17+10)</f>
        <v>140</v>
      </c>
      <c r="AC18" s="54">
        <f t="shared" si="2"/>
        <v>2.9642410527826075</v>
      </c>
      <c r="AD18" s="58">
        <f>AB18^2*($O$34+0.00393*(0.3*(AB18^2*$O$34*0.001)-0.0008*(AB18^2*$O$34*0.001)^1.5)*$O$34)*0.004</f>
        <v>9.964684599766235</v>
      </c>
      <c r="AE18" s="6"/>
    </row>
    <row r="19" spans="1:31" ht="12" customHeight="1">
      <c r="A19" s="6"/>
      <c r="B19" s="6"/>
      <c r="C19" s="6"/>
      <c r="D19" s="6"/>
      <c r="E19" s="6"/>
      <c r="F19" s="6"/>
      <c r="G19" s="6"/>
      <c r="H19" s="6"/>
      <c r="I19" s="6"/>
      <c r="J19" s="7"/>
      <c r="K19" s="44"/>
      <c r="L19" s="6"/>
      <c r="M19" s="6"/>
      <c r="N19" s="6"/>
      <c r="O19" s="6"/>
      <c r="P19" s="6"/>
      <c r="Q19" s="6"/>
      <c r="R19" s="6"/>
      <c r="S19" s="6"/>
      <c r="T19" s="6"/>
      <c r="U19" s="6"/>
      <c r="V19" s="6">
        <f t="shared" si="0"/>
        <v>16</v>
      </c>
      <c r="W19" s="57">
        <f>IF(ISNUMBER($G$33),$G$33,W18+10)</f>
        <v>150</v>
      </c>
      <c r="X19" s="54">
        <f>0.00508*$D$29*(EXP((-0.29262488+0.015353171*($G$29+Y19)-0.00021252808*($G$29+Y19)^2)/(1-0.01319877*($G$29+Y19)+0.00015202596*($G$29+Y19)^2+0.00000045682417*($G$29+Y19)^3))*1/(0.00020020228-0.0000037499594*((0.0004*PI()*$B$40*0.06*W19)/((PI()*LN($B$29/$C$29))/((1/$C$29-1/$B$29)/2.54)))-0.00014238677*((0.0004*PI()*$B$40*0.06*W19)/((PI()*LN($B$29/$C$29))/((1/$C$29-1/$B$29)/2.54)))^2+0.0035452867*((0.0004*PI()*$B$40*0.06*W19)/((PI()*LN($B$29/$C$29))/((1/$C$29-1/$B$29)/2.54)))^3-0.0028614245*((0.0004*PI()*$B$40*0.06*W19)/((PI()*LN($B$29/$C$29))/((1/$C$29-1/$B$29)/2.54)))^4+0.00079295177*((0.0004*PI()*$B$40*0.06*W19)/((PI()*LN($B$29/$C$29))/((1/$C$29-1/$B$29)/2.54)))^5))*LN($B$29/$C$29)*$B$40*$B$40</f>
        <v>535.4471345717928</v>
      </c>
      <c r="Y19" s="54">
        <f t="shared" si="1"/>
        <v>4.425937589580257</v>
      </c>
      <c r="Z19" s="58">
        <f>(W19)^2*($E$40+0.00393*(0.3*((W19)^2*$E$40*0.001)-0.0008*((W19)^2*$E$40*0.001)^1.5)*$E$40)*0.001</f>
        <v>14.906599939696186</v>
      </c>
      <c r="AA19" s="6"/>
      <c r="AB19" s="57">
        <f>IF(ISNUMBER($Q$33),$Q$33,AB18+10)</f>
        <v>150</v>
      </c>
      <c r="AC19" s="54">
        <f t="shared" si="2"/>
        <v>3.402217382387482</v>
      </c>
      <c r="AD19" s="58">
        <f>AB19^2*($O$34+0.00393*(0.3*(AB19^2*$O$34*0.001)-0.0008*(AB19^2*$O$34*0.001)^1.5)*$O$34)*0.004</f>
        <v>11.443961112709404</v>
      </c>
      <c r="AE19" s="6"/>
    </row>
    <row r="20" spans="1:31" ht="12" customHeight="1">
      <c r="A20" s="6"/>
      <c r="B20" s="6"/>
      <c r="C20" s="6"/>
      <c r="D20" s="6"/>
      <c r="E20" s="6"/>
      <c r="F20" s="6"/>
      <c r="G20" s="6"/>
      <c r="H20" s="6"/>
      <c r="I20" s="6"/>
      <c r="J20" s="7"/>
      <c r="K20" s="44"/>
      <c r="L20" s="6"/>
      <c r="M20" s="6"/>
      <c r="N20" s="6"/>
      <c r="O20" s="6"/>
      <c r="P20" s="6"/>
      <c r="Q20" s="6"/>
      <c r="R20" s="6"/>
      <c r="S20" s="6"/>
      <c r="T20" s="6"/>
      <c r="U20" s="6"/>
      <c r="V20" s="6">
        <f t="shared" si="0"/>
        <v>17</v>
      </c>
      <c r="W20" s="57">
        <f>IF(ISNUMBER($G$33),$G$33,W19+10)</f>
        <v>160</v>
      </c>
      <c r="X20" s="54">
        <f>0.00508*$D$29*(EXP((-0.29262488+0.015353171*($G$29+Y20)-0.00021252808*($G$29+Y20)^2)/(1-0.01319877*($G$29+Y20)+0.00015202596*($G$29+Y20)^2+0.00000045682417*($G$29+Y20)^3))*1/(0.00020020228-0.0000037499594*((0.0004*PI()*$B$40*0.06*W20)/((PI()*LN($B$29/$C$29))/((1/$C$29-1/$B$29)/2.54)))-0.00014238677*((0.0004*PI()*$B$40*0.06*W20)/((PI()*LN($B$29/$C$29))/((1/$C$29-1/$B$29)/2.54)))^2+0.0035452867*((0.0004*PI()*$B$40*0.06*W20)/((PI()*LN($B$29/$C$29))/((1/$C$29-1/$B$29)/2.54)))^3-0.0028614245*((0.0004*PI()*$B$40*0.06*W20)/((PI()*LN($B$29/$C$29))/((1/$C$29-1/$B$29)/2.54)))^4+0.00079295177*((0.0004*PI()*$B$40*0.06*W20)/((PI()*LN($B$29/$C$29))/((1/$C$29-1/$B$29)/2.54)))^5))*LN($B$29/$C$29)*$B$40*$B$40</f>
        <v>494.25686943306084</v>
      </c>
      <c r="Y20" s="54">
        <f t="shared" si="1"/>
        <v>5.043768970324545</v>
      </c>
      <c r="Z20" s="58">
        <f>(W20)^2*($E$40+0.00393*(0.3*((W20)^2*$E$40*0.001)-0.0008*((W20)^2*$E$40*0.001)^1.5)*$E$40)*0.001</f>
        <v>16.9994685919726</v>
      </c>
      <c r="AA20" s="6"/>
      <c r="AB20" s="57">
        <f>IF(ISNUMBER($Q$33),$Q$33,AB19+10)</f>
        <v>160</v>
      </c>
      <c r="AC20" s="54">
        <f t="shared" si="2"/>
        <v>3.8703829657908493</v>
      </c>
      <c r="AD20" s="58">
        <f>AB20^2*($O$34+0.00393*(0.3*(AB20^2*$O$34*0.001)-0.0008*(AB20^2*$O$34*0.001)^1.5)*$O$34)*0.004</f>
        <v>13.026653597467819</v>
      </c>
      <c r="AE20" s="6"/>
    </row>
    <row r="21" spans="1:31" ht="12" customHeight="1">
      <c r="A21" s="6"/>
      <c r="B21" s="6"/>
      <c r="C21" s="6"/>
      <c r="D21" s="6"/>
      <c r="E21" s="6"/>
      <c r="F21" s="6"/>
      <c r="G21" s="6"/>
      <c r="H21" s="6"/>
      <c r="I21" s="6"/>
      <c r="J21" s="7"/>
      <c r="K21" s="44"/>
      <c r="L21" s="6"/>
      <c r="M21" s="6"/>
      <c r="N21" s="6"/>
      <c r="O21" s="6"/>
      <c r="P21" s="6"/>
      <c r="Q21" s="6"/>
      <c r="R21" s="6"/>
      <c r="S21" s="6"/>
      <c r="T21" s="6"/>
      <c r="U21" s="6"/>
      <c r="V21" s="6">
        <f t="shared" si="0"/>
        <v>18</v>
      </c>
      <c r="W21" s="57">
        <f>IF(ISNUMBER($G$33),$G$33,W20+10)</f>
        <v>170</v>
      </c>
      <c r="X21" s="54">
        <f>0.00508*$D$29*(EXP((-0.29262488+0.015353171*($G$29+Y21)-0.00021252808*($G$29+Y21)^2)/(1-0.01319877*($G$29+Y21)+0.00015202596*($G$29+Y21)^2+0.00000045682417*($G$29+Y21)^3))*1/(0.00020020228-0.0000037499594*((0.0004*PI()*$B$40*0.06*W21)/((PI()*LN($B$29/$C$29))/((1/$C$29-1/$B$29)/2.54)))-0.00014238677*((0.0004*PI()*$B$40*0.06*W21)/((PI()*LN($B$29/$C$29))/((1/$C$29-1/$B$29)/2.54)))^2+0.0035452867*((0.0004*PI()*$B$40*0.06*W21)/((PI()*LN($B$29/$C$29))/((1/$C$29-1/$B$29)/2.54)))^3-0.0028614245*((0.0004*PI()*$B$40*0.06*W21)/((PI()*LN($B$29/$C$29))/((1/$C$29-1/$B$29)/2.54)))^4+0.00079295177*((0.0004*PI()*$B$40*0.06*W21)/((PI()*LN($B$29/$C$29))/((1/$C$29-1/$B$29)/2.54)))^5))*LN($B$29/$C$29)*$B$40*$B$40</f>
        <v>455.812841756495</v>
      </c>
      <c r="Y21" s="54">
        <f t="shared" si="1"/>
        <v>5.703810505318136</v>
      </c>
      <c r="Z21" s="58">
        <f>(W21)^2*($E$40+0.00393*(0.3*((W21)^2*$E$40*0.001)-0.0008*((W21)^2*$E$40*0.001)^1.5)*$E$40)*0.001</f>
        <v>19.23771011821604</v>
      </c>
      <c r="AA21" s="6"/>
      <c r="AB21" s="57">
        <f>IF(ISNUMBER($Q$33),$Q$33,AB20+10)</f>
        <v>170</v>
      </c>
      <c r="AC21" s="54">
        <f t="shared" si="2"/>
        <v>4.368763628448069</v>
      </c>
      <c r="AD21" s="58">
        <f>AB21^2*($O$34+0.00393*(0.3*(AB21^2*$O$34*0.001)-0.0008*(AB21^2*$O$34*0.001)^1.5)*$O$34)*0.004</f>
        <v>14.713040534951359</v>
      </c>
      <c r="AE21" s="6"/>
    </row>
    <row r="22" spans="1:31" ht="12" customHeight="1">
      <c r="A22" s="6"/>
      <c r="B22" s="6"/>
      <c r="C22" s="6"/>
      <c r="D22" s="6"/>
      <c r="E22" s="6"/>
      <c r="F22" s="6"/>
      <c r="G22" s="6"/>
      <c r="H22" s="6"/>
      <c r="I22" s="6"/>
      <c r="J22" s="7"/>
      <c r="K22" s="44"/>
      <c r="L22" s="6"/>
      <c r="M22" s="6"/>
      <c r="N22" s="6"/>
      <c r="O22" s="6"/>
      <c r="P22" s="6"/>
      <c r="Q22" s="6"/>
      <c r="R22" s="6"/>
      <c r="S22" s="6"/>
      <c r="T22" s="6"/>
      <c r="U22" s="6"/>
      <c r="V22" s="6">
        <f t="shared" si="0"/>
        <v>19</v>
      </c>
      <c r="W22" s="57">
        <f>IF(ISNUMBER($G$33),$G$33,W21+10)</f>
        <v>180</v>
      </c>
      <c r="X22" s="54">
        <f>0.00508*$D$29*(EXP((-0.29262488+0.015353171*($G$29+Y22)-0.00021252808*($G$29+Y22)^2)/(1-0.01319877*($G$29+Y22)+0.00015202596*($G$29+Y22)^2+0.00000045682417*($G$29+Y22)^3))*1/(0.00020020228-0.0000037499594*((0.0004*PI()*$B$40*0.06*W22)/((PI()*LN($B$29/$C$29))/((1/$C$29-1/$B$29)/2.54)))-0.00014238677*((0.0004*PI()*$B$40*0.06*W22)/((PI()*LN($B$29/$C$29))/((1/$C$29-1/$B$29)/2.54)))^2+0.0035452867*((0.0004*PI()*$B$40*0.06*W22)/((PI()*LN($B$29/$C$29))/((1/$C$29-1/$B$29)/2.54)))^3-0.0028614245*((0.0004*PI()*$B$40*0.06*W22)/((PI()*LN($B$29/$C$29))/((1/$C$29-1/$B$29)/2.54)))^4+0.00079295177*((0.0004*PI()*$B$40*0.06*W22)/((PI()*LN($B$29/$C$29))/((1/$C$29-1/$B$29)/2.54)))^5))*LN($B$29/$C$29)*$B$40*$B$40</f>
        <v>420.25010310124446</v>
      </c>
      <c r="Y22" s="54">
        <f t="shared" si="1"/>
        <v>6.406535054290695</v>
      </c>
      <c r="Z22" s="58">
        <f>(W22)^2*($E$40+0.00393*(0.3*((W22)^2*$E$40*0.001)-0.0008*((W22)^2*$E$40*0.001)^1.5)*$E$40)*0.001</f>
        <v>21.62324979392353</v>
      </c>
      <c r="AA22" s="6"/>
      <c r="AB22" s="57">
        <f>IF(ISNUMBER($Q$33),$Q$33,AB21+10)</f>
        <v>180</v>
      </c>
      <c r="AC22" s="54">
        <f t="shared" si="2"/>
        <v>4.897390128477272</v>
      </c>
      <c r="AD22" s="58">
        <f>AB22^2*($O$34+0.00393*(0.3*(AB22^2*$O$34*0.001)-0.0008*(AB22^2*$O$34*0.001)^1.5)*$O$34)*0.004</f>
        <v>16.503418147695438</v>
      </c>
      <c r="AE22" s="6"/>
    </row>
    <row r="23" spans="1:31" ht="12" customHeight="1">
      <c r="A23" s="6"/>
      <c r="B23" s="6"/>
      <c r="C23" s="6"/>
      <c r="D23" s="6"/>
      <c r="E23" s="6"/>
      <c r="F23" s="6"/>
      <c r="G23" s="6"/>
      <c r="H23" s="6"/>
      <c r="I23" s="6"/>
      <c r="J23" s="7"/>
      <c r="K23" s="44"/>
      <c r="L23" s="6"/>
      <c r="M23" s="6"/>
      <c r="N23" s="6"/>
      <c r="O23" s="6"/>
      <c r="P23" s="6"/>
      <c r="Q23" s="6"/>
      <c r="R23" s="6"/>
      <c r="S23" s="6"/>
      <c r="T23" s="6"/>
      <c r="U23" s="6"/>
      <c r="V23" s="6">
        <f t="shared" si="0"/>
        <v>20</v>
      </c>
      <c r="W23" s="57">
        <f>IF(ISNUMBER($G$33),$G$33,W22+10)</f>
        <v>190</v>
      </c>
      <c r="X23" s="54">
        <f>0.00508*$D$29*(EXP((-0.29262488+0.015353171*($G$29+Y23)-0.00021252808*($G$29+Y23)^2)/(1-0.01319877*($G$29+Y23)+0.00015202596*($G$29+Y23)^2+0.00000045682417*($G$29+Y23)^3))*1/(0.00020020228-0.0000037499594*((0.0004*PI()*$B$40*0.06*W23)/((PI()*LN($B$29/$C$29))/((1/$C$29-1/$B$29)/2.54)))-0.00014238677*((0.0004*PI()*$B$40*0.06*W23)/((PI()*LN($B$29/$C$29))/((1/$C$29-1/$B$29)/2.54)))^2+0.0035452867*((0.0004*PI()*$B$40*0.06*W23)/((PI()*LN($B$29/$C$29))/((1/$C$29-1/$B$29)/2.54)))^3-0.0028614245*((0.0004*PI()*$B$40*0.06*W23)/((PI()*LN($B$29/$C$29))/((1/$C$29-1/$B$29)/2.54)))^4+0.00079295177*((0.0004*PI()*$B$40*0.06*W23)/((PI()*LN($B$29/$C$29))/((1/$C$29-1/$B$29)/2.54)))^5))*LN($B$29/$C$29)*$B$40*$B$40</f>
        <v>387.5691976333381</v>
      </c>
      <c r="Y23" s="54">
        <f t="shared" si="1"/>
        <v>7.152446278995612</v>
      </c>
      <c r="Z23" s="58">
        <f>(W23)^2*($E$40+0.00393*(0.3*((W23)^2*$E$40*0.001)-0.0008*((W23)^2*$E$40*0.001)^1.5)*$E$40)*0.001</f>
        <v>24.158126006267086</v>
      </c>
      <c r="AA23" s="6"/>
      <c r="AB23" s="57">
        <f>IF(ISNUMBER($Q$33),$Q$33,AB22+10)</f>
        <v>190</v>
      </c>
      <c r="AC23" s="54">
        <f t="shared" si="2"/>
        <v>5.4562981241373425</v>
      </c>
      <c r="AD23" s="58">
        <f>AB23^2*($O$34+0.00393*(0.3*(AB23^2*$O$34*0.001)-0.0008*(AB23^2*$O$34*0.001)^1.5)*$O$34)*0.004</f>
        <v>18.398100372575563</v>
      </c>
      <c r="AE23" s="6"/>
    </row>
    <row r="24" spans="1:31" ht="12" customHeight="1">
      <c r="A24" s="6"/>
      <c r="B24" s="6"/>
      <c r="C24" s="6"/>
      <c r="D24" s="6"/>
      <c r="E24" s="6"/>
      <c r="F24" s="6"/>
      <c r="G24" s="6"/>
      <c r="H24" s="6"/>
      <c r="I24" s="6"/>
      <c r="J24" s="7"/>
      <c r="K24" s="44"/>
      <c r="L24" s="6"/>
      <c r="M24" s="6"/>
      <c r="N24" s="6"/>
      <c r="O24" s="6"/>
      <c r="P24" s="6"/>
      <c r="Q24" s="6"/>
      <c r="R24" s="6"/>
      <c r="S24" s="6"/>
      <c r="T24" s="6"/>
      <c r="U24" s="6"/>
      <c r="V24" s="6">
        <f t="shared" si="0"/>
        <v>21</v>
      </c>
      <c r="W24" s="57">
        <f>IF(ISNUMBER($G$33),$G$33,W23+10)</f>
        <v>200</v>
      </c>
      <c r="X24" s="54">
        <f>0.00508*$D$29*(EXP((-0.29262488+0.015353171*($G$29+Y24)-0.00021252808*($G$29+Y24)^2)/(1-0.01319877*($G$29+Y24)+0.00015202596*($G$29+Y24)^2+0.00000045682417*($G$29+Y24)^3))*1/(0.00020020228-0.0000037499594*((0.0004*PI()*$B$40*0.06*W24)/((PI()*LN($B$29/$C$29))/((1/$C$29-1/$B$29)/2.54)))-0.00014238677*((0.0004*PI()*$B$40*0.06*W24)/((PI()*LN($B$29/$C$29))/((1/$C$29-1/$B$29)/2.54)))^2+0.0035452867*((0.0004*PI()*$B$40*0.06*W24)/((PI()*LN($B$29/$C$29))/((1/$C$29-1/$B$29)/2.54)))^3-0.0028614245*((0.0004*PI()*$B$40*0.06*W24)/((PI()*LN($B$29/$C$29))/((1/$C$29-1/$B$29)/2.54)))^4+0.00079295177*((0.0004*PI()*$B$40*0.06*W24)/((PI()*LN($B$29/$C$29))/((1/$C$29-1/$B$29)/2.54)))^5))*LN($B$29/$C$29)*$B$40*$B$40</f>
        <v>357.6769552696673</v>
      </c>
      <c r="Y24" s="54">
        <f t="shared" si="1"/>
        <v>7.94207832911971</v>
      </c>
      <c r="Z24" s="58">
        <f>(W24)^2*($E$40+0.00393*(0.3*((W24)^2*$E$40*0.001)-0.0008*((W24)^2*$E$40*0.001)^1.5)*$E$40)*0.001</f>
        <v>26.844489845547045</v>
      </c>
      <c r="AA24" s="6"/>
      <c r="AB24" s="57">
        <f>IF(ISNUMBER($Q$33),$Q$33,AB23+10)</f>
        <v>200</v>
      </c>
      <c r="AC24" s="54">
        <f t="shared" si="2"/>
        <v>6.045528141287835</v>
      </c>
      <c r="AD24" s="58">
        <f>AB24^2*($O$34+0.00393*(0.3*(AB24^2*$O$34*0.001)-0.0008*(AB24^2*$O$34*0.001)^1.5)*$O$34)*0.004</f>
        <v>20.397418833521925</v>
      </c>
      <c r="AE24" s="6"/>
    </row>
    <row r="25" spans="1:31" ht="12" customHeight="1">
      <c r="A25" s="35"/>
      <c r="B25" s="22"/>
      <c r="C25" s="22"/>
      <c r="D25" s="20"/>
      <c r="E25" s="21"/>
      <c r="F25" s="35"/>
      <c r="G25" s="22"/>
      <c r="H25" s="22"/>
      <c r="I25" s="20"/>
      <c r="J25" s="21"/>
      <c r="K25" s="44"/>
      <c r="L25" s="6"/>
      <c r="M25" s="6"/>
      <c r="N25" s="6"/>
      <c r="O25" s="6"/>
      <c r="P25" s="6"/>
      <c r="Q25" s="6"/>
      <c r="R25" s="6"/>
      <c r="S25" s="6"/>
      <c r="T25" s="6"/>
      <c r="U25" s="6"/>
      <c r="V25" s="6">
        <f t="shared" si="0"/>
        <v>22</v>
      </c>
      <c r="W25" s="57">
        <f>IF(ISNUMBER($G$33),$G$33,W24+10)</f>
        <v>210</v>
      </c>
      <c r="X25" s="54">
        <f>0.00508*$D$29*(EXP((-0.29262488+0.015353171*($G$29+Y25)-0.00021252808*($G$29+Y25)^2)/(1-0.01319877*($G$29+Y25)+0.00015202596*($G$29+Y25)^2+0.00000045682417*($G$29+Y25)^3))*1/(0.00020020228-0.0000037499594*((0.0004*PI()*$B$40*0.06*W25)/((PI()*LN($B$29/$C$29))/((1/$C$29-1/$B$29)/2.54)))-0.00014238677*((0.0004*PI()*$B$40*0.06*W25)/((PI()*LN($B$29/$C$29))/((1/$C$29-1/$B$29)/2.54)))^2+0.0035452867*((0.0004*PI()*$B$40*0.06*W25)/((PI()*LN($B$29/$C$29))/((1/$C$29-1/$B$29)/2.54)))^3-0.0028614245*((0.0004*PI()*$B$40*0.06*W25)/((PI()*LN($B$29/$C$29))/((1/$C$29-1/$B$29)/2.54)))^4+0.00079295177*((0.0004*PI()*$B$40*0.06*W25)/((PI()*LN($B$29/$C$29))/((1/$C$29-1/$B$29)/2.54)))^5))*LN($B$29/$C$29)*$B$40*$B$40</f>
        <v>330.4199682607633</v>
      </c>
      <c r="Y25" s="54">
        <f t="shared" si="1"/>
        <v>8.775995526647788</v>
      </c>
      <c r="Z25" s="58">
        <f>(W25)^2*($E$40+0.00393*(0.3*((W25)^2*$E$40*0.001)-0.0008*((W25)^2*$E$40*0.001)^1.5)*$E$40)*0.001</f>
        <v>29.684604696645376</v>
      </c>
      <c r="AA25" s="6"/>
      <c r="AB25" s="57">
        <f>IF(ISNUMBER($Q$33),$Q$33,AB24+10)</f>
        <v>210</v>
      </c>
      <c r="AC25" s="54">
        <f t="shared" si="2"/>
        <v>6.665125540827385</v>
      </c>
      <c r="AD25" s="58">
        <f>AB25^2*($O$34+0.00393*(0.3*(AB25^2*$O$34*0.001)-0.0008*(AB25^2*$O$34*0.001)^1.5)*$O$34)*0.004</f>
        <v>22.501722814233947</v>
      </c>
      <c r="AE25" s="6"/>
    </row>
    <row r="26" spans="1:31" ht="12" customHeight="1">
      <c r="A26" s="35"/>
      <c r="B26" s="22"/>
      <c r="C26" s="22"/>
      <c r="D26" s="20"/>
      <c r="E26" s="21"/>
      <c r="F26" s="35"/>
      <c r="G26" s="22"/>
      <c r="H26" s="22"/>
      <c r="I26" s="20"/>
      <c r="J26" s="21"/>
      <c r="K26" s="44"/>
      <c r="L26" s="6"/>
      <c r="M26" s="6"/>
      <c r="N26" s="6"/>
      <c r="O26" s="6"/>
      <c r="P26" s="6"/>
      <c r="Q26" s="6"/>
      <c r="R26" s="6"/>
      <c r="S26" s="6"/>
      <c r="T26" s="6"/>
      <c r="U26" s="6"/>
      <c r="V26" s="6">
        <f t="shared" si="0"/>
        <v>23</v>
      </c>
      <c r="W26" s="57">
        <f>IF(ISNUMBER($G$33),$G$33,W25+10)</f>
        <v>220</v>
      </c>
      <c r="X26" s="54">
        <f>0.00508*$D$29*(EXP((-0.29262488+0.015353171*($G$29+Y26)-0.00021252808*($G$29+Y26)^2)/(1-0.01319877*($G$29+Y26)+0.00015202596*($G$29+Y26)^2+0.00000045682417*($G$29+Y26)^3))*1/(0.00020020228-0.0000037499594*((0.0004*PI()*$B$40*0.06*W26)/((PI()*LN($B$29/$C$29))/((1/$C$29-1/$B$29)/2.54)))-0.00014238677*((0.0004*PI()*$B$40*0.06*W26)/((PI()*LN($B$29/$C$29))/((1/$C$29-1/$B$29)/2.54)))^2+0.0035452867*((0.0004*PI()*$B$40*0.06*W26)/((PI()*LN($B$29/$C$29))/((1/$C$29-1/$B$29)/2.54)))^3-0.0028614245*((0.0004*PI()*$B$40*0.06*W26)/((PI()*LN($B$29/$C$29))/((1/$C$29-1/$B$29)/2.54)))^4+0.00079295177*((0.0004*PI()*$B$40*0.06*W26)/((PI()*LN($B$29/$C$29))/((1/$C$29-1/$B$29)/2.54)))^5))*LN($B$29/$C$29)*$B$40*$B$40</f>
        <v>305.61034530629445</v>
      </c>
      <c r="Y26" s="54">
        <f t="shared" si="1"/>
        <v>9.654792048581532</v>
      </c>
      <c r="Z26" s="58">
        <f>(W26)^2*($E$40+0.00393*(0.3*((W26)^2*$E$40*0.001)-0.0008*((W26)^2*$E$40*0.001)^1.5)*$E$40)*0.001</f>
        <v>32.680845830479</v>
      </c>
      <c r="AA26" s="6"/>
      <c r="AB26" s="57">
        <f>IF(ISNUMBER($Q$33),$Q$33,AB25+10)</f>
        <v>220</v>
      </c>
      <c r="AC26" s="54">
        <f t="shared" si="2"/>
        <v>7.315140486107243</v>
      </c>
      <c r="AD26" s="58">
        <f>AB26^2*($O$34+0.00393*(0.3*(AB26^2*$O$34*0.001)-0.0008*(AB26^2*$O$34*0.001)^1.5)*$O$34)*0.004</f>
        <v>24.711379230894867</v>
      </c>
      <c r="AE26" s="6"/>
    </row>
    <row r="27" spans="1:31" ht="12" customHeight="1">
      <c r="A27" s="6"/>
      <c r="B27" s="71" t="s">
        <v>24</v>
      </c>
      <c r="C27" s="29"/>
      <c r="D27" s="48"/>
      <c r="E27" s="49"/>
      <c r="F27" s="1"/>
      <c r="G27" s="9" t="s">
        <v>21</v>
      </c>
      <c r="H27" s="36">
        <f>IF(ISNUMBER(G33),"Initial","")</f>
      </c>
      <c r="I27" s="6"/>
      <c r="J27" s="44"/>
      <c r="K27" s="6"/>
      <c r="L27" s="46" t="s">
        <v>23</v>
      </c>
      <c r="M27" s="29"/>
      <c r="N27" s="29"/>
      <c r="O27" s="45"/>
      <c r="P27" s="6"/>
      <c r="Q27" s="6"/>
      <c r="R27" s="6"/>
      <c r="S27" s="6"/>
      <c r="T27" s="6"/>
      <c r="U27" s="6"/>
      <c r="V27" s="6">
        <f t="shared" si="0"/>
        <v>24</v>
      </c>
      <c r="W27" s="57">
        <f>IF(ISNUMBER($G$33),$G$33,W26+10)</f>
        <v>230</v>
      </c>
      <c r="X27" s="54">
        <f>0.00508*$D$29*(EXP((-0.29262488+0.015353171*($G$29+Y27)-0.00021252808*($G$29+Y27)^2)/(1-0.01319877*($G$29+Y27)+0.00015202596*($G$29+Y27)^2+0.00000045682417*($G$29+Y27)^3))*1/(0.00020020228-0.0000037499594*((0.0004*PI()*$B$40*0.06*W27)/((PI()*LN($B$29/$C$29))/((1/$C$29-1/$B$29)/2.54)))-0.00014238677*((0.0004*PI()*$B$40*0.06*W27)/((PI()*LN($B$29/$C$29))/((1/$C$29-1/$B$29)/2.54)))^2+0.0035452867*((0.0004*PI()*$B$40*0.06*W27)/((PI()*LN($B$29/$C$29))/((1/$C$29-1/$B$29)/2.54)))^3-0.0028614245*((0.0004*PI()*$B$40*0.06*W27)/((PI()*LN($B$29/$C$29))/((1/$C$29-1/$B$29)/2.54)))^4+0.00079295177*((0.0004*PI()*$B$40*0.06*W27)/((PI()*LN($B$29/$C$29))/((1/$C$29-1/$B$29)/2.54)))^5))*LN($B$29/$C$29)*$B$40*$B$40</f>
        <v>283.0444910890675</v>
      </c>
      <c r="Y27" s="54">
        <f t="shared" si="1"/>
        <v>10.579091607915664</v>
      </c>
      <c r="Z27" s="58">
        <f>(W27)^2*($E$40+0.00393*(0.3*((W27)^2*$E$40*0.001)-0.0008*((W27)^2*$E$40*0.001)^1.5)*$E$40)*0.001</f>
        <v>35.8356999954531</v>
      </c>
      <c r="AA27" s="6"/>
      <c r="AB27" s="57">
        <f>IF(ISNUMBER($Q$33),$Q$33,AB26+10)</f>
        <v>230</v>
      </c>
      <c r="AC27" s="54">
        <f t="shared" si="2"/>
        <v>7.995627910316491</v>
      </c>
      <c r="AD27" s="58">
        <f>AB27^2*($O$34+0.00393*(0.3*(AB27^2*$O$34*0.001)-0.0008*(AB27^2*$O$34*0.001)^1.5)*$O$34)*0.004</f>
        <v>27.026772604886272</v>
      </c>
      <c r="AE27" s="6"/>
    </row>
    <row r="28" spans="1:31" ht="12" customHeight="1">
      <c r="A28" s="6"/>
      <c r="B28" s="51" t="s">
        <v>11</v>
      </c>
      <c r="C28" s="52" t="s">
        <v>12</v>
      </c>
      <c r="D28" s="53" t="s">
        <v>13</v>
      </c>
      <c r="E28" s="47" t="s">
        <v>1</v>
      </c>
      <c r="F28" s="1"/>
      <c r="G28" s="9" t="s">
        <v>15</v>
      </c>
      <c r="H28" s="31">
        <f>IF(ISNUMBER(G33),"Permeability","")</f>
      </c>
      <c r="I28" s="31">
        <f>IF(ISNUMBER(G33),"Ind (uH)","")</f>
      </c>
      <c r="J28" s="74">
        <f>IF(ISNUMBER(G33),"Power (mW)","")</f>
      </c>
      <c r="K28" s="6"/>
      <c r="L28" s="51" t="s">
        <v>11</v>
      </c>
      <c r="M28" s="52" t="s">
        <v>12</v>
      </c>
      <c r="N28" s="53" t="s">
        <v>13</v>
      </c>
      <c r="O28" s="47" t="s">
        <v>1</v>
      </c>
      <c r="P28" s="6"/>
      <c r="Q28" s="6"/>
      <c r="R28" s="74">
        <f>IF(ISNUMBER(Q33),"Power (mW)","")</f>
      </c>
      <c r="S28" s="6"/>
      <c r="T28" s="6"/>
      <c r="U28" s="6"/>
      <c r="V28" s="6">
        <f t="shared" si="0"/>
        <v>25</v>
      </c>
      <c r="W28" s="57">
        <f>IF(ISNUMBER($G$33),$G$33,W27+10)</f>
        <v>240</v>
      </c>
      <c r="X28" s="54">
        <f>0.00508*$D$29*(EXP((-0.29262488+0.015353171*($G$29+Y28)-0.00021252808*($G$29+Y28)^2)/(1-0.01319877*($G$29+Y28)+0.00015202596*($G$29+Y28)^2+0.00000045682417*($G$29+Y28)^3))*1/(0.00020020228-0.0000037499594*((0.0004*PI()*$B$40*0.06*W28)/((PI()*LN($B$29/$C$29))/((1/$C$29-1/$B$29)/2.54)))-0.00014238677*((0.0004*PI()*$B$40*0.06*W28)/((PI()*LN($B$29/$C$29))/((1/$C$29-1/$B$29)/2.54)))^2+0.0035452867*((0.0004*PI()*$B$40*0.06*W28)/((PI()*LN($B$29/$C$29))/((1/$C$29-1/$B$29)/2.54)))^3-0.0028614245*((0.0004*PI()*$B$40*0.06*W28)/((PI()*LN($B$29/$C$29))/((1/$C$29-1/$B$29)/2.54)))^4+0.00079295177*((0.0004*PI()*$B$40*0.06*W28)/((PI()*LN($B$29/$C$29))/((1/$C$29-1/$B$29)/2.54)))^5))*LN($B$29/$C$29)*$B$40*$B$40</f>
        <v>262.5161345646172</v>
      </c>
      <c r="Y28" s="54">
        <f t="shared" si="1"/>
        <v>11.549547132777407</v>
      </c>
      <c r="Z28" s="58">
        <f>(W28)^2*($E$40+0.00393*(0.3*((W28)^2*$E$40*0.001)-0.0008*((W28)^2*$E$40*0.001)^1.5)*$E$40)*0.001</f>
        <v>39.151765008914424</v>
      </c>
      <c r="AA28" s="6"/>
      <c r="AB28" s="57">
        <f>IF(ISNUMBER($Q$33),$Q$33,AB27+10)</f>
        <v>240</v>
      </c>
      <c r="AC28" s="54">
        <f t="shared" si="2"/>
        <v>8.706647483835692</v>
      </c>
      <c r="AD28" s="58">
        <f>AB28^2*($O$34+0.00393*(0.3*(AB28^2*$O$34*0.001)-0.0008*(AB28^2*$O$34*0.001)^1.5)*$O$34)*0.004</f>
        <v>29.44830503550272</v>
      </c>
      <c r="AE28" s="6"/>
    </row>
    <row r="29" spans="1:31" ht="12" customHeight="1">
      <c r="A29" s="6"/>
      <c r="B29" s="88">
        <v>0.12</v>
      </c>
      <c r="C29" s="89">
        <v>0.065</v>
      </c>
      <c r="D29" s="90">
        <v>0.095</v>
      </c>
      <c r="E29" s="92">
        <f>(IF(D34="",0,B34/(ROUND(0.18659391-4.0549726*(C29/(D34*2))+5.212591*(C29/(D34*2))^1.5+0.66037345*(C29/(D34*2))^2.5-0.056110873*(C29/(D34*2))^3,0)))+IF(D40="",0,B40/(ROUND(0.18659391-4.0549726*(C29/(D40*2))+5.212591*(C29/(D40*2))^1.5+0.66037345*(C29/(D40*2))^2.5-0.056110873*(C29/(D40*2))^3,0))))*100</f>
        <v>37.95620437956204</v>
      </c>
      <c r="F29" s="3"/>
      <c r="G29" s="27">
        <v>25</v>
      </c>
      <c r="H29" s="73">
        <f>IF(ISNUMBER(G33),EXP((-0.29262488+0.015353171*$G$29-0.00021252808*$G$29^2)/(1-0.01319877*$G$29+0.00015202596*$G$29^2+0.00000045682417*$G$29^3))*1/(0.00020020228-0.0000037499594*H33-0.00014238677*H33^2+0.0035452867*H33^3-0.0028614245*H33^4+0.00079295177*H33^5),"")</f>
      </c>
      <c r="I29" s="8">
        <f>IF(ISNUMBER(G33),X4,"")</f>
      </c>
      <c r="J29" s="75">
        <f>IF(ISNUMBER(G33),Z4*G37,"")</f>
      </c>
      <c r="K29" s="6"/>
      <c r="L29" s="88">
        <v>0.135</v>
      </c>
      <c r="M29" s="89">
        <v>0.07</v>
      </c>
      <c r="N29" s="90">
        <v>0.065</v>
      </c>
      <c r="O29" s="91">
        <f>(IF(N34="",0,L34/(ROUND(0.18659391-4.0549726*(M29/(N34*2))+5.212591*(M29/(N34*2))^1.5+0.66037345*(M29/(N34*2))^2.5-0.056110873*(M29/(N34*2))^3,0))))*400</f>
        <v>59.57446808510638</v>
      </c>
      <c r="P29" s="3"/>
      <c r="Q29" s="22"/>
      <c r="R29" s="75">
        <f>IF(ISNUMBER(Q33),AD4,"")</f>
      </c>
      <c r="S29" s="6"/>
      <c r="T29" s="6"/>
      <c r="U29" s="6"/>
      <c r="V29" s="6">
        <f t="shared" si="0"/>
        <v>26</v>
      </c>
      <c r="W29" s="57">
        <f>IF(ISNUMBER($G$33),$G$33,W28+10)</f>
        <v>250</v>
      </c>
      <c r="X29" s="54">
        <f>0.00508*$D$29*(EXP((-0.29262488+0.015353171*($G$29+Y29)-0.00021252808*($G$29+Y29)^2)/(1-0.01319877*($G$29+Y29)+0.00015202596*($G$29+Y29)^2+0.00000045682417*($G$29+Y29)^3))*1/(0.00020020228-0.0000037499594*((0.0004*PI()*$B$40*0.06*W29)/((PI()*LN($B$29/$C$29))/((1/$C$29-1/$B$29)/2.54)))-0.00014238677*((0.0004*PI()*$B$40*0.06*W29)/((PI()*LN($B$29/$C$29))/((1/$C$29-1/$B$29)/2.54)))^2+0.0035452867*((0.0004*PI()*$B$40*0.06*W29)/((PI()*LN($B$29/$C$29))/((1/$C$29-1/$B$29)/2.54)))^3-0.0028614245*((0.0004*PI()*$B$40*0.06*W29)/((PI()*LN($B$29/$C$29))/((1/$C$29-1/$B$29)/2.54)))^4+0.00079295177*((0.0004*PI()*$B$40*0.06*W29)/((PI()*LN($B$29/$C$29))/((1/$C$29-1/$B$29)/2.54)))^5))*LN($B$29/$C$29)*$B$40*$B$40</f>
        <v>243.82490092597723</v>
      </c>
      <c r="Y29" s="54">
        <f t="shared" si="1"/>
        <v>12.566840443638668</v>
      </c>
      <c r="Z29" s="58">
        <f>(W29)^2*($E$40+0.00393*(0.3*((W29)^2*$E$40*0.001)-0.0008*((W29)^2*$E$40*0.001)^1.5)*$E$40)*0.001</f>
        <v>42.63174934860461</v>
      </c>
      <c r="AA29" s="6"/>
      <c r="AB29" s="57">
        <f>IF(ISNUMBER($Q$33),$Q$33,AB28+10)</f>
        <v>250</v>
      </c>
      <c r="AC29" s="54">
        <f t="shared" si="2"/>
        <v>9.448263581555537</v>
      </c>
      <c r="AD29" s="58">
        <f>AB29^2*($O$34+0.00393*(0.3*(AB29^2*$O$34*0.001)-0.0008*(AB29^2*$O$34*0.001)^1.5)*$O$34)*0.004</f>
        <v>31.976396172666245</v>
      </c>
      <c r="AE29" s="6"/>
    </row>
    <row r="30" spans="1:31" ht="12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>
        <f t="shared" si="0"/>
        <v>27</v>
      </c>
      <c r="W30" s="57">
        <f>IF(ISNUMBER($G$33),$G$33,W29+10)</f>
        <v>260</v>
      </c>
      <c r="X30" s="54">
        <f>0.00508*$D$29*(EXP((-0.29262488+0.015353171*($G$29+Y30)-0.00021252808*($G$29+Y30)^2)/(1-0.01319877*($G$29+Y30)+0.00015202596*($G$29+Y30)^2+0.00000045682417*($G$29+Y30)^3))*1/(0.00020020228-0.0000037499594*((0.0004*PI()*$B$40*0.06*W30)/((PI()*LN($B$29/$C$29))/((1/$C$29-1/$B$29)/2.54)))-0.00014238677*((0.0004*PI()*$B$40*0.06*W30)/((PI()*LN($B$29/$C$29))/((1/$C$29-1/$B$29)/2.54)))^2+0.0035452867*((0.0004*PI()*$B$40*0.06*W30)/((PI()*LN($B$29/$C$29))/((1/$C$29-1/$B$29)/2.54)))^3-0.0028614245*((0.0004*PI()*$B$40*0.06*W30)/((PI()*LN($B$29/$C$29))/((1/$C$29-1/$B$29)/2.54)))^4+0.00079295177*((0.0004*PI()*$B$40*0.06*W30)/((PI()*LN($B$29/$C$29))/((1/$C$29-1/$B$29)/2.54)))^5))*LN($B$29/$C$29)*$B$40*$B$40</f>
        <v>226.78159059697734</v>
      </c>
      <c r="Y30" s="54">
        <f t="shared" si="1"/>
        <v>13.631681928513707</v>
      </c>
      <c r="Z30" s="58">
        <f>(W30)^2*($E$40+0.00393*(0.3*((W30)^2*$E$40*0.001)-0.0008*((W30)^2*$E$40*0.001)^1.5)*$E$40)*0.001</f>
        <v>46.27847174411351</v>
      </c>
      <c r="AA30" s="6"/>
      <c r="AB30" s="57">
        <f>IF(ISNUMBER($Q$33),$Q$33,AB29+10)</f>
        <v>260</v>
      </c>
      <c r="AC30" s="54">
        <f t="shared" si="2"/>
        <v>10.22054525015735</v>
      </c>
      <c r="AD30" s="58">
        <f>AB30^2*($O$34+0.00393*(0.3*(AB30^2*$O$34*0.001)-0.0008*(AB30^2*$O$34*0.001)^1.5)*$O$34)*0.004</f>
        <v>34.611483189640985</v>
      </c>
      <c r="AE30" s="6"/>
    </row>
    <row r="31" spans="1:31" ht="12.75" customHeight="1">
      <c r="A31" s="6"/>
      <c r="B31" s="2"/>
      <c r="C31" s="2"/>
      <c r="D31" s="2"/>
      <c r="E31" s="2"/>
      <c r="F31" s="2"/>
      <c r="H31" s="6"/>
      <c r="I31" s="6"/>
      <c r="J31" s="74">
        <f>IF(ISNUMBER(G33),"Temperature","")</f>
      </c>
      <c r="K31" s="6"/>
      <c r="L31" s="6"/>
      <c r="M31" s="6"/>
      <c r="N31" s="6"/>
      <c r="O31" s="6"/>
      <c r="P31" s="6"/>
      <c r="R31" s="2"/>
      <c r="S31" s="6"/>
      <c r="T31" s="6"/>
      <c r="U31" s="6"/>
      <c r="V31" s="6">
        <f t="shared" si="0"/>
        <v>28</v>
      </c>
      <c r="W31" s="57">
        <f>IF(ISNUMBER($G$33),$G$33,W30+10)</f>
        <v>270</v>
      </c>
      <c r="X31" s="54">
        <f>0.00508*$D$29*(EXP((-0.29262488+0.015353171*($G$29+Y31)-0.00021252808*($G$29+Y31)^2)/(1-0.01319877*($G$29+Y31)+0.00015202596*($G$29+Y31)^2+0.00000045682417*($G$29+Y31)^3))*1/(0.00020020228-0.0000037499594*((0.0004*PI()*$B$40*0.06*W31)/((PI()*LN($B$29/$C$29))/((1/$C$29-1/$B$29)/2.54)))-0.00014238677*((0.0004*PI()*$B$40*0.06*W31)/((PI()*LN($B$29/$C$29))/((1/$C$29-1/$B$29)/2.54)))^2+0.0035452867*((0.0004*PI()*$B$40*0.06*W31)/((PI()*LN($B$29/$C$29))/((1/$C$29-1/$B$29)/2.54)))^3-0.0028614245*((0.0004*PI()*$B$40*0.06*W31)/((PI()*LN($B$29/$C$29))/((1/$C$29-1/$B$29)/2.54)))^4+0.00079295177*((0.0004*PI()*$B$40*0.06*W31)/((PI()*LN($B$29/$C$29))/((1/$C$29-1/$B$29)/2.54)))^5))*LN($B$29/$C$29)*$B$40*$B$40</f>
        <v>211.21111998287893</v>
      </c>
      <c r="Y31" s="54">
        <f t="shared" si="1"/>
        <v>14.744810216058285</v>
      </c>
      <c r="Z31" s="58">
        <f>(W31)^2*($E$40+0.00393*(0.3*((W31)^2*$E$40*0.001)-0.0008*((W31)^2*$E$40*0.001)^1.5)*$E$40)*0.001</f>
        <v>50.09486076833248</v>
      </c>
      <c r="AA31" s="6"/>
      <c r="AB31" s="57">
        <f>IF(ISNUMBER($Q$33),$Q$33,AB30+10)</f>
        <v>270</v>
      </c>
      <c r="AC31" s="54">
        <f t="shared" si="2"/>
        <v>11.023566175352041</v>
      </c>
      <c r="AD31" s="58">
        <f>AB31^2*($O$34+0.00393*(0.3*(AB31^2*$O$34*0.001)-0.0008*(AB31^2*$O$34*0.001)^1.5)*$O$34)*0.004</f>
        <v>37.35402075574768</v>
      </c>
      <c r="AE31" s="6"/>
    </row>
    <row r="32" spans="1:31" ht="12.75" customHeight="1">
      <c r="A32" s="6"/>
      <c r="B32" s="39" t="s">
        <v>30</v>
      </c>
      <c r="C32" s="29"/>
      <c r="D32" s="29"/>
      <c r="E32" s="30"/>
      <c r="F32" s="6"/>
      <c r="G32" s="19" t="s">
        <v>20</v>
      </c>
      <c r="H32" s="23">
        <f>IF(ISNUMBER(G33),"Drive (H)","")</f>
      </c>
      <c r="I32" s="6"/>
      <c r="J32" s="9">
        <f>IF(ISNUMBER(G33),"Rise (C)","")</f>
      </c>
      <c r="K32" s="6"/>
      <c r="L32" s="39" t="s">
        <v>22</v>
      </c>
      <c r="M32" s="29"/>
      <c r="N32" s="29"/>
      <c r="O32" s="45"/>
      <c r="P32" s="50"/>
      <c r="Q32" s="19" t="s">
        <v>20</v>
      </c>
      <c r="R32" s="74">
        <f>IF(ISNUMBER(Q33),"Temperature","")</f>
      </c>
      <c r="S32" s="6"/>
      <c r="T32" s="6"/>
      <c r="U32" s="6"/>
      <c r="V32" s="6">
        <f t="shared" si="0"/>
        <v>29</v>
      </c>
      <c r="W32" s="57">
        <f>IF(ISNUMBER($G$33),$G$33,W31+10)</f>
        <v>280</v>
      </c>
      <c r="X32" s="54">
        <f>0.00508*$D$29*(EXP((-0.29262488+0.015353171*($G$29+Y32)-0.00021252808*($G$29+Y32)^2)/(1-0.01319877*($G$29+Y32)+0.00015202596*($G$29+Y32)^2+0.00000045682417*($G$29+Y32)^3))*1/(0.00020020228-0.0000037499594*((0.0004*PI()*$B$40*0.06*W32)/((PI()*LN($B$29/$C$29))/((1/$C$29-1/$B$29)/2.54)))-0.00014238677*((0.0004*PI()*$B$40*0.06*W32)/((PI()*LN($B$29/$C$29))/((1/$C$29-1/$B$29)/2.54)))^2+0.0035452867*((0.0004*PI()*$B$40*0.06*W32)/((PI()*LN($B$29/$C$29))/((1/$C$29-1/$B$29)/2.54)))^3-0.0028614245*((0.0004*PI()*$B$40*0.06*W32)/((PI()*LN($B$29/$C$29))/((1/$C$29-1/$B$29)/2.54)))^4+0.00079295177*((0.0004*PI()*$B$40*0.06*W32)/((PI()*LN($B$29/$C$29))/((1/$C$29-1/$B$29)/2.54)))^5))*LN($B$29/$C$29)*$B$40*$B$40</f>
        <v>196.9538623152613</v>
      </c>
      <c r="Y32" s="54">
        <f t="shared" si="1"/>
        <v>15.906991846489715</v>
      </c>
      <c r="Z32" s="58">
        <f>(W32)^2*($E$40+0.00393*(0.3*((W32)^2*$E$40*0.001)-0.0008*((W32)^2*$E$40*0.001)^1.5)*$E$40)*0.001</f>
        <v>54.08395442890773</v>
      </c>
      <c r="AA32" s="6"/>
      <c r="AB32" s="57">
        <f>IF(ISNUMBER($Q$33),$Q$33,AB31+10)</f>
        <v>280</v>
      </c>
      <c r="AC32" s="54">
        <f t="shared" si="2"/>
        <v>11.857404649074436</v>
      </c>
      <c r="AD32" s="58">
        <f>AB32^2*($O$34+0.00393*(0.3*(AB32^2*$O$34*0.001)-0.0008*(AB32^2*$O$34*0.001)^1.5)*$O$34)*0.004</f>
        <v>40.204481009078314</v>
      </c>
      <c r="AE32" s="6"/>
    </row>
    <row r="33" spans="1:31" ht="12.75" customHeight="1">
      <c r="A33" s="6"/>
      <c r="B33" s="40" t="s">
        <v>14</v>
      </c>
      <c r="C33" s="76" t="s">
        <v>3</v>
      </c>
      <c r="D33" s="78" t="s">
        <v>0</v>
      </c>
      <c r="E33" s="32" t="s">
        <v>2</v>
      </c>
      <c r="F33" s="6"/>
      <c r="G33" s="65"/>
      <c r="H33" s="18">
        <f>IF(ISNUMBER(G33),(0.000024*PI()*B40*IF(ISNUMBER(G33),G33,0))/((PI()*LN(B29/C29))/((1/C29-1/B29)/2.541)),"")</f>
      </c>
      <c r="I33" s="6"/>
      <c r="J33" s="75">
        <f>IF(ISNUMBER(G33),Y4*G37,"")</f>
      </c>
      <c r="K33" s="6"/>
      <c r="L33" s="67" t="s">
        <v>14</v>
      </c>
      <c r="M33" s="79" t="s">
        <v>3</v>
      </c>
      <c r="N33" s="79" t="s">
        <v>0</v>
      </c>
      <c r="O33" s="68" t="s">
        <v>2</v>
      </c>
      <c r="P33" s="6"/>
      <c r="Q33" s="65"/>
      <c r="R33" s="9">
        <f>IF(ISNUMBER(Q33),"Rise (C)","")</f>
      </c>
      <c r="S33" s="6"/>
      <c r="T33" s="6"/>
      <c r="U33" s="6"/>
      <c r="V33" s="6">
        <f t="shared" si="0"/>
        <v>30</v>
      </c>
      <c r="W33" s="57">
        <f>IF(ISNUMBER($G$33),$G$33,W32+10)</f>
        <v>290</v>
      </c>
      <c r="X33" s="54">
        <f>0.00508*$D$29*(EXP((-0.29262488+0.015353171*($G$29+Y33)-0.00021252808*($G$29+Y33)^2)/(1-0.01319877*($G$29+Y33)+0.00015202596*($G$29+Y33)^2+0.00000045682417*($G$29+Y33)^3))*1/(0.00020020228-0.0000037499594*((0.0004*PI()*$B$40*0.06*W33)/((PI()*LN($B$29/$C$29))/((1/$C$29-1/$B$29)/2.54)))-0.00014238677*((0.0004*PI()*$B$40*0.06*W33)/((PI()*LN($B$29/$C$29))/((1/$C$29-1/$B$29)/2.54)))^2+0.0035452867*((0.0004*PI()*$B$40*0.06*W33)/((PI()*LN($B$29/$C$29))/((1/$C$29-1/$B$29)/2.54)))^3-0.0028614245*((0.0004*PI()*$B$40*0.06*W33)/((PI()*LN($B$29/$C$29))/((1/$C$29-1/$B$29)/2.54)))^4+0.00079295177*((0.0004*PI()*$B$40*0.06*W33)/((PI()*LN($B$29/$C$29))/((1/$C$29-1/$B$29)/2.54)))^5))*LN($B$29/$C$29)*$B$40*$B$40</f>
        <v>183.86593509099507</v>
      </c>
      <c r="Y33" s="54">
        <f t="shared" si="1"/>
        <v>17.11902094025049</v>
      </c>
      <c r="Z33" s="58">
        <f>(W33)^2*($E$40+0.00393*(0.3*((W33)^2*$E$40*0.001)-0.0008*((W33)^2*$E$40*0.001)^1.5)*$E$40)*0.001</f>
        <v>58.24889975969358</v>
      </c>
      <c r="AA33" s="6"/>
      <c r="AB33" s="57">
        <f>IF(ISNUMBER($Q$33),$Q$33,AB32+10)</f>
        <v>290</v>
      </c>
      <c r="AC33" s="54">
        <f t="shared" si="2"/>
        <v>12.722143536629687</v>
      </c>
      <c r="AD33" s="58">
        <f>AB33^2*($O$34+0.00393*(0.3*(AB33^2*$O$34*0.001)-0.0008*(AB33^2*$O$34*0.001)^1.5)*$O$34)*0.004</f>
        <v>43.16335352921063</v>
      </c>
      <c r="AE33" s="6"/>
    </row>
    <row r="34" spans="1:31" ht="12.75" customHeight="1">
      <c r="A34" s="6"/>
      <c r="B34" s="43">
        <v>26</v>
      </c>
      <c r="C34" s="70" t="s">
        <v>4</v>
      </c>
      <c r="D34" s="77">
        <f>IF(RIGHT(C34)="b",0.325*(EXP(-0.116*LEFT(C34,2))),IF(RIGHT(C34)="s",0.321*(EXP(-0.113*LEFT(C34,2))),IF(RIGHT(C34)="h",0.32*(EXP(-0.1106*LEFT(C34,2))),IF(RIGHT(C34)="t",0.298*(EXP(-0.1061*LEFT(C34,2))),IF(RIGHT(C34)="q",0.303*(EXP(-0.1044*LEFT(C34,2)))-0.00005,"")))))</f>
        <v>0.004604026716965305</v>
      </c>
      <c r="E34" s="72">
        <f>IF(D34="","",ABS(FV(0.00393,$G$29-20,0,1.415/(((0.325*EXP(-0.116*LEFT(C34,2)))/0.00078)^2)*((B34*($B$29-$C$29+2*($D$29+D34)))+0.7),0)))</f>
        <v>0.6513751158184595</v>
      </c>
      <c r="F34" s="6"/>
      <c r="G34" s="6"/>
      <c r="H34" s="6"/>
      <c r="I34" s="6"/>
      <c r="J34" s="6"/>
      <c r="K34" s="6"/>
      <c r="L34" s="43">
        <v>14</v>
      </c>
      <c r="M34" s="70" t="s">
        <v>45</v>
      </c>
      <c r="N34" s="77">
        <f>IF(RIGHT(M34)="b",0.325*(EXP(-0.116*LEFT(M34,2))),IF(RIGHT(M34)="s",0.321*(EXP(-0.113*LEFT(M34,2))),IF(RIGHT(M34)="h",0.32*(EXP(-0.1106*LEFT(M34,2))),IF(RIGHT(M34)="t",0.298*(EXP(-0.1061*LEFT(M34,2))),IF(RIGHT(M34)="q",0.303*(EXP(-0.1044*LEFT(M34,2)))-0.00005,"")))))</f>
        <v>0.0059698451902911315</v>
      </c>
      <c r="O34" s="72">
        <f>IF(N34="","",ABS(FV(0.00393,$G$29-20,0,1.415/(((0.325*EXP(-0.116*LEFT(M34,2)))/0.00078)^2)*((L34*($L$29-$M$29+2*($N$29+N34)))+0.7),0)))</f>
        <v>0.12673099059569065</v>
      </c>
      <c r="P34" s="6"/>
      <c r="R34" s="75">
        <f>IF(ISNUMBER(Q33),AC4,"")</f>
      </c>
      <c r="S34" s="6"/>
      <c r="T34" s="6"/>
      <c r="U34" s="6"/>
      <c r="V34" s="6">
        <f t="shared" si="0"/>
        <v>31</v>
      </c>
      <c r="W34" s="57">
        <f>IF(ISNUMBER($G$33),$G$33,W33+10)</f>
        <v>300</v>
      </c>
      <c r="X34" s="54">
        <f>0.00508*$D$29*(EXP((-0.29262488+0.015353171*($G$29+Y34)-0.00021252808*($G$29+Y34)^2)/(1-0.01319877*($G$29+Y34)+0.00015202596*($G$29+Y34)^2+0.00000045682417*($G$29+Y34)^3))*1/(0.00020020228-0.0000037499594*((0.0004*PI()*$B$40*0.06*W34)/((PI()*LN($B$29/$C$29))/((1/$C$29-1/$B$29)/2.54)))-0.00014238677*((0.0004*PI()*$B$40*0.06*W34)/((PI()*LN($B$29/$C$29))/((1/$C$29-1/$B$29)/2.54)))^2+0.0035452867*((0.0004*PI()*$B$40*0.06*W34)/((PI()*LN($B$29/$C$29))/((1/$C$29-1/$B$29)/2.54)))^3-0.0028614245*((0.0004*PI()*$B$40*0.06*W34)/((PI()*LN($B$29/$C$29))/((1/$C$29-1/$B$29)/2.54)))^4+0.00079295177*((0.0004*PI()*$B$40*0.06*W34)/((PI()*LN($B$29/$C$29))/((1/$C$29-1/$B$29)/2.54)))^5))*LN($B$29/$C$29)*$B$40*$B$40</f>
        <v>171.81882430008085</v>
      </c>
      <c r="Y34" s="54">
        <f t="shared" si="1"/>
        <v>18.381718864341522</v>
      </c>
      <c r="Z34" s="58">
        <f>(W34)^2*($E$40+0.00393*(0.3*((W34)^2*$E$40*0.001)-0.0008*((W34)^2*$E$40*0.001)^1.5)*$E$40)*0.001</f>
        <v>62.59295241220584</v>
      </c>
      <c r="AA34" s="6"/>
      <c r="AB34" s="57">
        <f>IF(ISNUMBER($Q$33),$Q$33,AB33+10)</f>
        <v>300</v>
      </c>
      <c r="AC34" s="54">
        <f t="shared" si="2"/>
        <v>13.61787024378867</v>
      </c>
      <c r="AD34" s="58">
        <f>AB34^2*($O$34+0.00393*(0.3*(AB34^2*$O$34*0.001)-0.0008*(AB34^2*$O$34*0.001)^1.5)*$O$34)*0.004</f>
        <v>46.231145309922724</v>
      </c>
      <c r="AE34" s="6"/>
    </row>
    <row r="35" spans="1:31" ht="12.75" customHeight="1">
      <c r="A35" s="6"/>
      <c r="B35" s="6"/>
      <c r="C35" s="6"/>
      <c r="D35" s="6"/>
      <c r="E35" s="6"/>
      <c r="F35" s="6"/>
      <c r="G35" s="74" t="s">
        <v>111</v>
      </c>
      <c r="H35" s="103"/>
      <c r="I35" s="103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>
        <f t="shared" si="0"/>
        <v>32</v>
      </c>
      <c r="W35" s="57">
        <f>IF(ISNUMBER($G$33),$G$33,W34+10)</f>
        <v>310</v>
      </c>
      <c r="X35" s="54">
        <f>0.00508*$D$29*(EXP((-0.29262488+0.015353171*($G$29+Y35)-0.00021252808*($G$29+Y35)^2)/(1-0.01319877*($G$29+Y35)+0.00015202596*($G$29+Y35)^2+0.00000045682417*($G$29+Y35)^3))*1/(0.00020020228-0.0000037499594*((0.0004*PI()*$B$40*0.06*W35)/((PI()*LN($B$29/$C$29))/((1/$C$29-1/$B$29)/2.54)))-0.00014238677*((0.0004*PI()*$B$40*0.06*W35)/((PI()*LN($B$29/$C$29))/((1/$C$29-1/$B$29)/2.54)))^2+0.0035452867*((0.0004*PI()*$B$40*0.06*W35)/((PI()*LN($B$29/$C$29))/((1/$C$29-1/$B$29)/2.54)))^3-0.0028614245*((0.0004*PI()*$B$40*0.06*W35)/((PI()*LN($B$29/$C$29))/((1/$C$29-1/$B$29)/2.54)))^4+0.00079295177*((0.0004*PI()*$B$40*0.06*W35)/((PI()*LN($B$29/$C$29))/((1/$C$29-1/$B$29)/2.54)))^5))*LN($B$29/$C$29)*$B$40*$B$40</f>
        <v>160.69861493535782</v>
      </c>
      <c r="Y35" s="54">
        <f t="shared" si="1"/>
        <v>19.695933896254324</v>
      </c>
      <c r="Z35" s="58">
        <f>(W35)^2*($E$40+0.00393*(0.3*((W35)^2*$E$40*0.001)-0.0008*((W35)^2*$E$40*0.001)^1.5)*$E$40)*0.001</f>
        <v>67.11947624707507</v>
      </c>
      <c r="AA35" s="6"/>
      <c r="AB35" s="57">
        <f>IF(ISNUMBER($Q$33),$Q$33,AB34+10)</f>
        <v>310</v>
      </c>
      <c r="AC35" s="54">
        <f t="shared" si="2"/>
        <v>14.544676683829191</v>
      </c>
      <c r="AD35" s="58">
        <f>AB35^2*($O$34+0.00393*(0.3*(AB35^2*$O$34*0.001)-0.0008*(AB35^2*$O$34*0.001)^1.5)*$O$34)*0.004</f>
        <v>49.40838073190757</v>
      </c>
      <c r="AE35" s="6"/>
    </row>
    <row r="36" spans="1:31" ht="12.75" customHeight="1">
      <c r="A36" s="6"/>
      <c r="B36" s="6"/>
      <c r="C36" s="6"/>
      <c r="D36" s="6"/>
      <c r="E36" s="6"/>
      <c r="F36" s="6"/>
      <c r="G36" s="65">
        <v>1</v>
      </c>
      <c r="H36" s="102">
        <f>$B$29+3*$D$34+3*$D$40</f>
        <v>0.14762416030179182</v>
      </c>
      <c r="I36" s="102">
        <f>$D$29+3*$D$34+3*$D$40</f>
        <v>0.12262416030179182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>
        <f t="shared" si="0"/>
        <v>33</v>
      </c>
      <c r="W36" s="57">
        <f>IF(ISNUMBER($G$33),$G$33,W35+10)</f>
        <v>320</v>
      </c>
      <c r="X36" s="54">
        <f>0.00508*$D$29*(EXP((-0.29262488+0.015353171*($G$29+Y36)-0.00021252808*($G$29+Y36)^2)/(1-0.01319877*($G$29+Y36)+0.00015202596*($G$29+Y36)^2+0.00000045682417*($G$29+Y36)^3))*1/(0.00020020228-0.0000037499594*((0.0004*PI()*$B$40*0.06*W36)/((PI()*LN($B$29/$C$29))/((1/$C$29-1/$B$29)/2.54)))-0.00014238677*((0.0004*PI()*$B$40*0.06*W36)/((PI()*LN($B$29/$C$29))/((1/$C$29-1/$B$29)/2.54)))^2+0.0035452867*((0.0004*PI()*$B$40*0.06*W36)/((PI()*LN($B$29/$C$29))/((1/$C$29-1/$B$29)/2.54)))^3-0.0028614245*((0.0004*PI()*$B$40*0.06*W36)/((PI()*LN($B$29/$C$29))/((1/$C$29-1/$B$29)/2.54)))^4+0.00079295177*((0.0004*PI()*$B$40*0.06*W36)/((PI()*LN($B$29/$C$29))/((1/$C$29-1/$B$29)/2.54)))^5))*LN($B$29/$C$29)*$B$40*$B$40</f>
        <v>150.40500757193666</v>
      </c>
      <c r="Y36" s="54">
        <f t="shared" si="1"/>
        <v>21.062540885434704</v>
      </c>
      <c r="Z36" s="58">
        <f>(W36)^2*($E$40+0.00393*(0.3*((W36)^2*$E$40*0.001)-0.0008*((W36)^2*$E$40*0.001)^1.5)*$E$40)*0.001</f>
        <v>71.83194292549993</v>
      </c>
      <c r="AA36" s="6"/>
      <c r="AB36" s="57">
        <f>IF(ISNUMBER($Q$33),$Q$33,AB35+10)</f>
        <v>320</v>
      </c>
      <c r="AC36" s="54">
        <f t="shared" si="2"/>
        <v>15.502659244520016</v>
      </c>
      <c r="AD36" s="58">
        <f>AB36^2*($O$34+0.00393*(0.3*(AB36^2*$O$34*0.001)-0.0008*(AB36^2*$O$34*0.001)^1.5)*$O$34)*0.004</f>
        <v>52.69560153548767</v>
      </c>
      <c r="AE36" s="6"/>
    </row>
    <row r="37" spans="1:31" ht="12.75" customHeight="1">
      <c r="A37" s="6"/>
      <c r="B37" s="38"/>
      <c r="C37" s="34"/>
      <c r="D37" s="33"/>
      <c r="E37" s="25"/>
      <c r="F37" s="6"/>
      <c r="G37" s="97">
        <f>IF(ISNUMBER($G$36),IF($G$36&gt;4,4,IF($G$36&lt;1,1,$G$36)),1)</f>
        <v>1</v>
      </c>
      <c r="H37" s="104">
        <f>$G$37*H36</f>
        <v>0.14762416030179182</v>
      </c>
      <c r="I37" s="104">
        <f>$G$37*I36</f>
        <v>0.12262416030179182</v>
      </c>
      <c r="J37" s="100"/>
      <c r="K37" s="6"/>
      <c r="L37" s="6"/>
      <c r="M37" s="6"/>
      <c r="N37" s="6"/>
      <c r="O37" s="6"/>
      <c r="P37" s="6"/>
      <c r="Q37" s="94"/>
      <c r="R37" s="6"/>
      <c r="S37" s="6"/>
      <c r="T37" s="6"/>
      <c r="U37" s="6"/>
      <c r="V37" s="6">
        <f t="shared" si="0"/>
        <v>34</v>
      </c>
      <c r="W37" s="57">
        <f>IF(ISNUMBER($G$33),$G$33,W36+10)</f>
        <v>330</v>
      </c>
      <c r="X37" s="54">
        <f>0.00508*$D$29*(EXP((-0.29262488+0.015353171*($G$29+Y37)-0.00021252808*($G$29+Y37)^2)/(1-0.01319877*($G$29+Y37)+0.00015202596*($G$29+Y37)^2+0.00000045682417*($G$29+Y37)^3))*1/(0.00020020228-0.0000037499594*((0.0004*PI()*$B$40*0.06*W37)/((PI()*LN($B$29/$C$29))/((1/$C$29-1/$B$29)/2.54)))-0.00014238677*((0.0004*PI()*$B$40*0.06*W37)/((PI()*LN($B$29/$C$29))/((1/$C$29-1/$B$29)/2.54)))^2+0.0035452867*((0.0004*PI()*$B$40*0.06*W37)/((PI()*LN($B$29/$C$29))/((1/$C$29-1/$B$29)/2.54)))^3-0.0028614245*((0.0004*PI()*$B$40*0.06*W37)/((PI()*LN($B$29/$C$29))/((1/$C$29-1/$B$29)/2.54)))^4+0.00079295177*((0.0004*PI()*$B$40*0.06*W37)/((PI()*LN($B$29/$C$29))/((1/$C$29-1/$B$29)/2.54)))^5))*LN($B$29/$C$29)*$B$40*$B$40</f>
        <v>140.8502361668493</v>
      </c>
      <c r="Y37" s="54">
        <f t="shared" si="1"/>
        <v>22.482440912213892</v>
      </c>
      <c r="Z37" s="58">
        <f>(W37)^2*($E$40+0.00393*(0.3*((W37)^2*$E$40*0.001)-0.0008*((W37)^2*$E$40*0.001)^1.5)*$E$40)*0.001</f>
        <v>76.73393150070049</v>
      </c>
      <c r="AA37" s="6"/>
      <c r="AB37" s="57">
        <f>IF(ISNUMBER($Q$33),$Q$33,AB36+10)</f>
        <v>330</v>
      </c>
      <c r="AC37" s="54">
        <f t="shared" si="2"/>
        <v>16.4919187550445</v>
      </c>
      <c r="AD37" s="58">
        <f>AB37^2*($O$34+0.00393*(0.3*(AB37^2*$O$34*0.001)-0.0008*(AB37^2*$O$34*0.001)^1.5)*$O$34)*0.004</f>
        <v>56.093366793329494</v>
      </c>
      <c r="AE37" s="6"/>
    </row>
    <row r="38" spans="1:31" ht="12.75" customHeight="1">
      <c r="A38" s="6"/>
      <c r="B38" s="41" t="s">
        <v>31</v>
      </c>
      <c r="C38" s="29"/>
      <c r="D38" s="29"/>
      <c r="E38" s="30"/>
      <c r="F38" s="6"/>
      <c r="G38" s="83" t="s">
        <v>112</v>
      </c>
      <c r="H38" s="80"/>
      <c r="I38" s="81"/>
      <c r="J38" s="6"/>
      <c r="K38" s="6"/>
      <c r="L38" s="6"/>
      <c r="M38" s="6"/>
      <c r="N38" s="6"/>
      <c r="O38" s="6"/>
      <c r="P38" s="6"/>
      <c r="Q38" s="83" t="s">
        <v>34</v>
      </c>
      <c r="R38" s="80"/>
      <c r="S38" s="81"/>
      <c r="T38" s="6"/>
      <c r="U38" s="6"/>
      <c r="V38" s="6">
        <f t="shared" si="0"/>
        <v>35</v>
      </c>
      <c r="W38" s="57">
        <f>IF(ISNUMBER($G$33),$G$33,W37+10)</f>
        <v>340</v>
      </c>
      <c r="X38" s="54">
        <f>0.00508*$D$29*(EXP((-0.29262488+0.015353171*($G$29+Y38)-0.00021252808*($G$29+Y38)^2)/(1-0.01319877*($G$29+Y38)+0.00015202596*($G$29+Y38)^2+0.00000045682417*($G$29+Y38)^3))*1/(0.00020020228-0.0000037499594*((0.0004*PI()*$B$40*0.06*W38)/((PI()*LN($B$29/$C$29))/((1/$C$29-1/$B$29)/2.54)))-0.00014238677*((0.0004*PI()*$B$40*0.06*W38)/((PI()*LN($B$29/$C$29))/((1/$C$29-1/$B$29)/2.54)))^2+0.0035452867*((0.0004*PI()*$B$40*0.06*W38)/((PI()*LN($B$29/$C$29))/((1/$C$29-1/$B$29)/2.54)))^3-0.0028614245*((0.0004*PI()*$B$40*0.06*W38)/((PI()*LN($B$29/$C$29))/((1/$C$29-1/$B$29)/2.54)))^4+0.00079295177*((0.0004*PI()*$B$40*0.06*W38)/((PI()*LN($B$29/$C$29))/((1/$C$29-1/$B$29)/2.54)))^5))*LN($B$29/$C$29)*$B$40*$B$40</f>
        <v>131.95795700796512</v>
      </c>
      <c r="Y38" s="54">
        <f t="shared" si="1"/>
        <v>23.956560944146155</v>
      </c>
      <c r="Z38" s="58">
        <f>(W38)^2*($E$40+0.00393*(0.3*((W38)^2*$E$40*0.001)-0.0008*((W38)^2*$E$40*0.001)^1.5)*$E$40)*0.001</f>
        <v>81.82912800937152</v>
      </c>
      <c r="AA38" s="6"/>
      <c r="AB38" s="57">
        <f>IF(ISNUMBER($Q$33),$Q$33,AB37+10)</f>
        <v>340</v>
      </c>
      <c r="AC38" s="54">
        <f t="shared" si="2"/>
        <v>17.512560452861024</v>
      </c>
      <c r="AD38" s="58">
        <f>AB38^2*($O$34+0.00393*(0.3*(AB38^2*$O$34*0.001)-0.0008*(AB38^2*$O$34*0.001)^1.5)*$O$34)*0.004</f>
        <v>59.60225288315821</v>
      </c>
      <c r="AE38" s="6"/>
    </row>
    <row r="39" spans="1:31" ht="12.75" customHeight="1">
      <c r="A39" s="6"/>
      <c r="B39" s="42" t="s">
        <v>14</v>
      </c>
      <c r="C39" s="76" t="s">
        <v>3</v>
      </c>
      <c r="D39" s="76" t="s">
        <v>0</v>
      </c>
      <c r="E39" s="32" t="s">
        <v>2</v>
      </c>
      <c r="F39" s="6"/>
      <c r="G39" s="98" t="s">
        <v>32</v>
      </c>
      <c r="H39" s="82" t="s">
        <v>33</v>
      </c>
      <c r="I39" s="99" t="s">
        <v>13</v>
      </c>
      <c r="J39" s="6"/>
      <c r="K39" s="6"/>
      <c r="L39" s="6"/>
      <c r="M39" s="6"/>
      <c r="N39" s="6"/>
      <c r="O39" s="6"/>
      <c r="P39" s="6"/>
      <c r="Q39" s="84" t="s">
        <v>32</v>
      </c>
      <c r="R39" s="82" t="s">
        <v>33</v>
      </c>
      <c r="S39" s="86" t="s">
        <v>13</v>
      </c>
      <c r="T39" s="6"/>
      <c r="U39" s="6"/>
      <c r="V39" s="6">
        <f t="shared" si="0"/>
        <v>36</v>
      </c>
      <c r="W39" s="57">
        <f>IF(ISNUMBER($G$33),$G$33,W38+10)</f>
        <v>350</v>
      </c>
      <c r="X39" s="54">
        <f>0.00508*$D$29*(EXP((-0.29262488+0.015353171*($G$29+Y39)-0.00021252808*($G$29+Y39)^2)/(1-0.01319877*($G$29+Y39)+0.00015202596*($G$29+Y39)^2+0.00000045682417*($G$29+Y39)^3))*1/(0.00020020228-0.0000037499594*((0.0004*PI()*$B$40*0.06*W39)/((PI()*LN($B$29/$C$29))/((1/$C$29-1/$B$29)/2.54)))-0.00014238677*((0.0004*PI()*$B$40*0.06*W39)/((PI()*LN($B$29/$C$29))/((1/$C$29-1/$B$29)/2.54)))^2+0.0035452867*((0.0004*PI()*$B$40*0.06*W39)/((PI()*LN($B$29/$C$29))/((1/$C$29-1/$B$29)/2.54)))^3-0.0028614245*((0.0004*PI()*$B$40*0.06*W39)/((PI()*LN($B$29/$C$29))/((1/$C$29-1/$B$29)/2.54)))^4+0.00079295177*((0.0004*PI()*$B$40*0.06*W39)/((PI()*LN($B$29/$C$29))/((1/$C$29-1/$B$29)/2.54)))^5))*LN($B$29/$C$29)*$B$40*$B$40</f>
        <v>123.66214817459559</v>
      </c>
      <c r="Y39" s="54">
        <f t="shared" si="1"/>
        <v>25.48585348969521</v>
      </c>
      <c r="Z39" s="58">
        <f>(W39)^2*($E$40+0.00393*(0.3*((W39)^2*$E$40*0.001)-0.0008*((W39)^2*$E$40*0.001)^1.5)*$E$40)*0.001</f>
        <v>87.12132506313583</v>
      </c>
      <c r="AA39" s="6"/>
      <c r="AB39" s="57">
        <f>IF(ISNUMBER($Q$33),$Q$33,AB38+10)</f>
        <v>350</v>
      </c>
      <c r="AC39" s="54">
        <f t="shared" si="2"/>
        <v>18.564693950496988</v>
      </c>
      <c r="AD39" s="58">
        <f>AB39^2*($O$34+0.00393*(0.3*(AB39^2*$O$34*0.001)-0.0008*(AB39^2*$O$34*0.001)^1.5)*$O$34)*0.004</f>
        <v>63.22285346047211</v>
      </c>
      <c r="AE39" s="6"/>
    </row>
    <row r="40" spans="1:31" ht="12.75" customHeight="1">
      <c r="A40" s="6"/>
      <c r="B40" s="69">
        <v>26</v>
      </c>
      <c r="C40" s="70" t="s">
        <v>4</v>
      </c>
      <c r="D40" s="77">
        <f>IF(RIGHT(C40)="b",0.325*(EXP(-0.116*LEFT(C40,2))),IF(RIGHT(C40)="s",0.321*(EXP(-0.113*LEFT(C40,2))),IF(RIGHT(C40)="h",0.32*(EXP(-0.1106*LEFT(C40,2))),IF(RIGHT(C40)="t",0.298*(EXP(-0.1061*LEFT(C40,2))),IF(RIGHT(C40)="q",0.303*(EXP(-0.1044*LEFT(C40,2)))-0.00005,"")))))</f>
        <v>0.004604026716965305</v>
      </c>
      <c r="E40" s="72">
        <f>IF(D40="","",ABS(FV(0.00393,$G$29-20,0,1.415/(((0.325*EXP(-0.116*LEFT(C40,2)))/0.00078)^2)*((B40*($B$29-$C$29+2*($D$29+D40)))+0.7),0)))</f>
        <v>0.6513751158184595</v>
      </c>
      <c r="F40" s="6"/>
      <c r="G40" s="85">
        <f>0.15+($B$29+3*$D$34+3*D40)</f>
        <v>0.29762416030179184</v>
      </c>
      <c r="H40" s="105">
        <f>IF($G$37=1,H36,IF($H$37&lt;$I$37,$H$37,$H$36))</f>
        <v>0.14762416030179182</v>
      </c>
      <c r="I40" s="105">
        <f>IF($G$37=1,I36,IF($I$37&lt;$H$37,$I$37,$I$36))</f>
        <v>0.12262416030179182</v>
      </c>
      <c r="J40" s="101"/>
      <c r="K40" s="44"/>
      <c r="L40" s="6"/>
      <c r="M40" s="6"/>
      <c r="N40" s="6"/>
      <c r="O40" s="6"/>
      <c r="P40" s="6"/>
      <c r="Q40" s="85">
        <f>$L$29+6*$N$34</f>
        <v>0.1708190711417468</v>
      </c>
      <c r="R40" s="72">
        <f>$L$29+6*$N$34</f>
        <v>0.1708190711417468</v>
      </c>
      <c r="S40" s="87">
        <f>$N$29+6*$N$34</f>
        <v>0.10081907114174679</v>
      </c>
      <c r="T40" s="6"/>
      <c r="U40" s="6"/>
      <c r="V40" s="6">
        <f t="shared" si="0"/>
        <v>37</v>
      </c>
      <c r="W40" s="57">
        <f>IF(ISNUMBER($G$33),$G$33,W39+10)</f>
        <v>360</v>
      </c>
      <c r="X40" s="54">
        <f>0.00508*$D$29*(EXP((-0.29262488+0.015353171*($G$29+Y40)-0.00021252808*($G$29+Y40)^2)/(1-0.01319877*($G$29+Y40)+0.00015202596*($G$29+Y40)^2+0.00000045682417*($G$29+Y40)^3))*1/(0.00020020228-0.0000037499594*((0.0004*PI()*$B$40*0.06*W40)/((PI()*LN($B$29/$C$29))/((1/$C$29-1/$B$29)/2.54)))-0.00014238677*((0.0004*PI()*$B$40*0.06*W40)/((PI()*LN($B$29/$C$29))/((1/$C$29-1/$B$29)/2.54)))^2+0.0035452867*((0.0004*PI()*$B$40*0.06*W40)/((PI()*LN($B$29/$C$29))/((1/$C$29-1/$B$29)/2.54)))^3-0.0028614245*((0.0004*PI()*$B$40*0.06*W40)/((PI()*LN($B$29/$C$29))/((1/$C$29-1/$B$29)/2.54)))^4+0.00079295177*((0.0004*PI()*$B$40*0.06*W40)/((PI()*LN($B$29/$C$29))/((1/$C$29-1/$B$29)/2.54)))^5))*LN($B$29/$C$29)*$B$40*$B$40</f>
        <v>115.90603919830875</v>
      </c>
      <c r="Y40" s="54">
        <f t="shared" si="1"/>
        <v>27.071296249214935</v>
      </c>
      <c r="Z40" s="58">
        <f>(W40)^2*($E$40+0.00393*(0.3*((W40)^2*$E$40*0.001)-0.0008*((W40)^2*$E$40*0.001)^1.5)*$E$40)*0.001</f>
        <v>92.61442143999756</v>
      </c>
      <c r="AA40" s="6"/>
      <c r="AB40" s="57">
        <f>IF(ISNUMBER($Q$33),$Q$33,AB39+10)</f>
        <v>360</v>
      </c>
      <c r="AC40" s="54">
        <f t="shared" si="2"/>
        <v>19.648433202273647</v>
      </c>
      <c r="AD40" s="58">
        <f>AB40^2*($O$34+0.00393*(0.3*(AB40^2*$O$34*0.001)-0.0008*(AB40^2*$O$34*0.001)^1.5)*$O$34)*0.004</f>
        <v>66.95577943125723</v>
      </c>
      <c r="AE40" s="6"/>
    </row>
    <row r="41" spans="1:31" ht="12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>
        <f t="shared" si="0"/>
        <v>38</v>
      </c>
      <c r="W41" s="57">
        <f>IF(ISNUMBER($G$33),$G$33,W40+10)</f>
        <v>370</v>
      </c>
      <c r="X41" s="54">
        <f>0.00508*$D$29*(EXP((-0.29262488+0.015353171*($G$29+Y41)-0.00021252808*($G$29+Y41)^2)/(1-0.01319877*($G$29+Y41)+0.00015202596*($G$29+Y41)^2+0.00000045682417*($G$29+Y41)^3))*1/(0.00020020228-0.0000037499594*((0.0004*PI()*$B$40*0.06*W41)/((PI()*LN($B$29/$C$29))/((1/$C$29-1/$B$29)/2.54)))-0.00014238677*((0.0004*PI()*$B$40*0.06*W41)/((PI()*LN($B$29/$C$29))/((1/$C$29-1/$B$29)/2.54)))^2+0.0035452867*((0.0004*PI()*$B$40*0.06*W41)/((PI()*LN($B$29/$C$29))/((1/$C$29-1/$B$29)/2.54)))^3-0.0028614245*((0.0004*PI()*$B$40*0.06*W41)/((PI()*LN($B$29/$C$29))/((1/$C$29-1/$B$29)/2.54)))^4+0.00079295177*((0.0004*PI()*$B$40*0.06*W41)/((PI()*LN($B$29/$C$29))/((1/$C$29-1/$B$29)/2.54)))^5))*LN($B$29/$C$29)*$B$40*$B$40</f>
        <v>108.64107894705732</v>
      </c>
      <c r="Y41" s="54">
        <f t="shared" si="1"/>
        <v>28.71389176317294</v>
      </c>
      <c r="Z41" s="58">
        <f>(W41)^2*($E$40+0.00393*(0.3*((W41)^2*$E$40*0.001)-0.0008*((W41)^2*$E$40*0.001)^1.5)*$E$40)*0.001</f>
        <v>98.31242167579552</v>
      </c>
      <c r="AA41" s="6"/>
      <c r="AB41" s="57">
        <f>IF(ISNUMBER($Q$33),$Q$33,AB40+10)</f>
        <v>370</v>
      </c>
      <c r="AC41" s="54">
        <f t="shared" si="2"/>
        <v>20.763896470958734</v>
      </c>
      <c r="AD41" s="58">
        <f>AB41^2*($O$34+0.00393*(0.3*(AB41^2*$O$34*0.001)-0.0008*(AB41^2*$O$34*0.001)^1.5)*$O$34)*0.004</f>
        <v>70.80165892470193</v>
      </c>
      <c r="AE41" s="6"/>
    </row>
    <row r="42" spans="1:31" ht="12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44"/>
      <c r="L42" s="6"/>
      <c r="M42" s="6"/>
      <c r="N42" s="6"/>
      <c r="O42" s="6"/>
      <c r="P42" s="6"/>
      <c r="Q42" s="6"/>
      <c r="R42" s="6"/>
      <c r="S42" s="6"/>
      <c r="T42" s="6"/>
      <c r="U42" s="6"/>
      <c r="V42" s="6">
        <f t="shared" si="0"/>
        <v>39</v>
      </c>
      <c r="W42" s="57">
        <f>IF(ISNUMBER($G$33),$G$33,W41+10)</f>
        <v>380</v>
      </c>
      <c r="X42" s="54">
        <f>0.00508*$D$29*(EXP((-0.29262488+0.015353171*($G$29+Y42)-0.00021252808*($G$29+Y42)^2)/(1-0.01319877*($G$29+Y42)+0.00015202596*($G$29+Y42)^2+0.00000045682417*($G$29+Y42)^3))*1/(0.00020020228-0.0000037499594*((0.0004*PI()*$B$40*0.06*W42)/((PI()*LN($B$29/$C$29))/((1/$C$29-1/$B$29)/2.54)))-0.00014238677*((0.0004*PI()*$B$40*0.06*W42)/((PI()*LN($B$29/$C$29))/((1/$C$29-1/$B$29)/2.54)))^2+0.0035452867*((0.0004*PI()*$B$40*0.06*W42)/((PI()*LN($B$29/$C$29))/((1/$C$29-1/$B$29)/2.54)))^3-0.0028614245*((0.0004*PI()*$B$40*0.06*W42)/((PI()*LN($B$29/$C$29))/((1/$C$29-1/$B$29)/2.54)))^4+0.00079295177*((0.0004*PI()*$B$40*0.06*W42)/((PI()*LN($B$29/$C$29))/((1/$C$29-1/$B$29)/2.54)))^5))*LN($B$29/$C$29)*$B$40*$B$40</f>
        <v>101.82594389285775</v>
      </c>
      <c r="Y42" s="54">
        <f t="shared" si="1"/>
        <v>30.41466705756861</v>
      </c>
      <c r="Z42" s="58">
        <f>(W42)^2*($E$40+0.00393*(0.3*((W42)^2*$E$40*0.001)-0.0008*((W42)^2*$E$40*0.001)^1.5)*$E$40)*0.001</f>
        <v>104.21943565565651</v>
      </c>
      <c r="AA42" s="6"/>
      <c r="AB42" s="57">
        <f>IF(ISNUMBER($Q$33),$Q$33,AB41+10)</f>
        <v>380</v>
      </c>
      <c r="AC42" s="54">
        <f t="shared" si="2"/>
        <v>21.911206294344026</v>
      </c>
      <c r="AD42" s="58">
        <f>AB42^2*($O$34+0.00393*(0.3*(AB42^2*$O$34*0.001)-0.0008*(AB42^2*$O$34*0.001)^1.5)*$O$34)*0.004</f>
        <v>74.76113726591146</v>
      </c>
      <c r="AE42" s="6"/>
    </row>
    <row r="43" spans="1:31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>
        <f t="shared" si="0"/>
        <v>40</v>
      </c>
      <c r="W43" s="57">
        <f>IF(ISNUMBER($G$33),$G$33,W42+10)</f>
        <v>390</v>
      </c>
      <c r="X43" s="54">
        <f>0.00508*$D$29*(EXP((-0.29262488+0.015353171*($G$29+Y43)-0.00021252808*($G$29+Y43)^2)/(1-0.01319877*($G$29+Y43)+0.00015202596*($G$29+Y43)^2+0.00000045682417*($G$29+Y43)^3))*1/(0.00020020228-0.0000037499594*((0.0004*PI()*$B$40*0.06*W43)/((PI()*LN($B$29/$C$29))/((1/$C$29-1/$B$29)/2.54)))-0.00014238677*((0.0004*PI()*$B$40*0.06*W43)/((PI()*LN($B$29/$C$29))/((1/$C$29-1/$B$29)/2.54)))^2+0.0035452867*((0.0004*PI()*$B$40*0.06*W43)/((PI()*LN($B$29/$C$29))/((1/$C$29-1/$B$29)/2.54)))^3-0.0028614245*((0.0004*PI()*$B$40*0.06*W43)/((PI()*LN($B$29/$C$29))/((1/$C$29-1/$B$29)/2.54)))^4+0.00079295177*((0.0004*PI()*$B$40*0.06*W43)/((PI()*LN($B$29/$C$29))/((1/$C$29-1/$B$29)/2.54)))^5))*LN($B$29/$C$29)*$B$40*$B$40</f>
        <v>95.4255871355998</v>
      </c>
      <c r="Y43" s="54">
        <f t="shared" si="1"/>
        <v>32.17467328650047</v>
      </c>
      <c r="Z43" s="58">
        <f>(W43)^2*($E$40+0.00393*(0.3*((W43)^2*$E$40*0.001)-0.0008*((W43)^2*$E$40*0.001)^1.5)*$E$40)*0.001</f>
        <v>110.33967820544856</v>
      </c>
      <c r="AA43" s="6"/>
      <c r="AB43" s="57">
        <f>IF(ISNUMBER($Q$33),$Q$33,AB42+10)</f>
        <v>390</v>
      </c>
      <c r="AC43" s="54">
        <f t="shared" si="2"/>
        <v>23.09048945174502</v>
      </c>
      <c r="AD43" s="58">
        <f>AB43^2*($O$34+0.00393*(0.3*(AB43^2*$O$34*0.001)-0.0008*(AB43^2*$O$34*0.001)^1.5)*$O$34)*0.004</f>
        <v>78.8348769486225</v>
      </c>
      <c r="AE43" s="6"/>
    </row>
    <row r="44" spans="1:31" ht="12.75" customHeight="1">
      <c r="A44" s="6"/>
      <c r="B44" s="6"/>
      <c r="C44" s="95" t="s">
        <v>35</v>
      </c>
      <c r="D44" s="6" t="s">
        <v>50</v>
      </c>
      <c r="E44" s="6"/>
      <c r="F44" s="6"/>
      <c r="G44" s="6"/>
      <c r="H44" s="6"/>
      <c r="I44" s="6"/>
      <c r="J44" s="6"/>
      <c r="K44" s="44"/>
      <c r="L44" s="6"/>
      <c r="M44" s="6"/>
      <c r="N44" s="6"/>
      <c r="O44" s="6"/>
      <c r="P44" s="6"/>
      <c r="Q44" s="6"/>
      <c r="R44" s="6"/>
      <c r="S44" s="6"/>
      <c r="T44" s="6"/>
      <c r="U44" s="6"/>
      <c r="V44" s="6">
        <f t="shared" si="0"/>
        <v>41</v>
      </c>
      <c r="W44" s="57">
        <f>IF(ISNUMBER($G$33),$G$33,W43+10)</f>
        <v>400</v>
      </c>
      <c r="X44" s="54">
        <f>0.00508*$D$29*(EXP((-0.29262488+0.015353171*($G$29+Y44)-0.00021252808*($G$29+Y44)^2)/(1-0.01319877*($G$29+Y44)+0.00015202596*($G$29+Y44)^2+0.00000045682417*($G$29+Y44)^3))*1/(0.00020020228-0.0000037499594*((0.0004*PI()*$B$40*0.06*W44)/((PI()*LN($B$29/$C$29))/((1/$C$29-1/$B$29)/2.54)))-0.00014238677*((0.0004*PI()*$B$40*0.06*W44)/((PI()*LN($B$29/$C$29))/((1/$C$29-1/$B$29)/2.54)))^2+0.0035452867*((0.0004*PI()*$B$40*0.06*W44)/((PI()*LN($B$29/$C$29))/((1/$C$29-1/$B$29)/2.54)))^3-0.0028614245*((0.0004*PI()*$B$40*0.06*W44)/((PI()*LN($B$29/$C$29))/((1/$C$29-1/$B$29)/2.54)))^4+0.00079295177*((0.0004*PI()*$B$40*0.06*W44)/((PI()*LN($B$29/$C$29))/((1/$C$29-1/$B$29)/2.54)))^5))*LN($B$29/$C$29)*$B$40*$B$40</f>
        <v>89.4103294339129</v>
      </c>
      <c r="Y44" s="54">
        <f t="shared" si="1"/>
        <v>33.99498537184039</v>
      </c>
      <c r="Z44" s="58">
        <f>(W44)^2*($E$40+0.00393*(0.3*((W44)^2*$E$40*0.001)-0.0008*((W44)^2*$E$40*0.001)^1.5)*$E$40)*0.001</f>
        <v>116.67746868323437</v>
      </c>
      <c r="AA44" s="6"/>
      <c r="AB44" s="59">
        <f>IF(ISNUMBER($Q$33),$Q$33,AB43+10)</f>
        <v>400</v>
      </c>
      <c r="AC44" s="60">
        <f t="shared" si="2"/>
        <v>24.301876930419876</v>
      </c>
      <c r="AD44" s="61">
        <f>AB44^2*($O$34+0.00393*(0.3*(AB44^2*$O$34*0.001)-0.0008*(AB44^2*$O$34*0.001)^1.5)*$O$34)*0.004</f>
        <v>83.02355760791772</v>
      </c>
      <c r="AE44" s="6"/>
    </row>
    <row r="45" spans="1:31" ht="12.75" customHeight="1">
      <c r="A45" s="6"/>
      <c r="B45" s="6"/>
      <c r="C45" s="6"/>
      <c r="D45" s="6" t="s">
        <v>49</v>
      </c>
      <c r="E45" s="6"/>
      <c r="F45" s="6"/>
      <c r="G45" s="6"/>
      <c r="H45" s="6"/>
      <c r="I45" s="6"/>
      <c r="J45" s="6"/>
      <c r="K45" s="44"/>
      <c r="L45" s="6"/>
      <c r="M45" s="6"/>
      <c r="N45" s="6"/>
      <c r="O45" s="6"/>
      <c r="P45" s="6"/>
      <c r="Q45" s="6"/>
      <c r="R45" s="6"/>
      <c r="S45" s="6"/>
      <c r="T45" s="6"/>
      <c r="U45" s="6"/>
      <c r="V45" s="6">
        <f t="shared" si="0"/>
        <v>42</v>
      </c>
      <c r="W45" s="57">
        <f>IF(ISNUMBER($G$33),$G$33,W44+10)</f>
        <v>410</v>
      </c>
      <c r="X45" s="54">
        <f>0.00508*$D$29*(EXP((-0.29262488+0.015353171*($G$29+Y45)-0.00021252808*($G$29+Y45)^2)/(1-0.01319877*($G$29+Y45)+0.00015202596*($G$29+Y45)^2+0.00000045682417*($G$29+Y45)^3))*1/(0.00020020228-0.0000037499594*((0.0004*PI()*$B$40*0.06*W45)/((PI()*LN($B$29/$C$29))/((1/$C$29-1/$B$29)/2.54)))-0.00014238677*((0.0004*PI()*$B$40*0.06*W45)/((PI()*LN($B$29/$C$29))/((1/$C$29-1/$B$29)/2.54)))^2+0.0035452867*((0.0004*PI()*$B$40*0.06*W45)/((PI()*LN($B$29/$C$29))/((1/$C$29-1/$B$29)/2.54)))^3-0.0028614245*((0.0004*PI()*$B$40*0.06*W45)/((PI()*LN($B$29/$C$29))/((1/$C$29-1/$B$29)/2.54)))^4+0.00079295177*((0.0004*PI()*$B$40*0.06*W45)/((PI()*LN($B$29/$C$29))/((1/$C$29-1/$B$29)/2.54)))^5))*LN($B$29/$C$29)*$B$40*$B$40</f>
        <v>83.75499584276126</v>
      </c>
      <c r="Y45" s="54">
        <f t="shared" si="1"/>
        <v>35.87670163997538</v>
      </c>
      <c r="Z45" s="58">
        <f>(W45)^2*($E$40+0.00393*(0.3*((W45)^2*$E$40*0.001)-0.0008*((W45)^2*$E$40*0.001)^1.5)*$E$40)*0.001</f>
        <v>123.23723057072448</v>
      </c>
      <c r="AA45" s="6"/>
      <c r="AB45" s="54"/>
      <c r="AC45" s="54"/>
      <c r="AD45" s="54"/>
      <c r="AE45" s="6"/>
    </row>
    <row r="46" spans="1:31" ht="12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>
        <f t="shared" si="0"/>
        <v>43</v>
      </c>
      <c r="W46" s="57">
        <f>IF(ISNUMBER($G$33),$G$33,W45+10)</f>
        <v>420</v>
      </c>
      <c r="X46" s="54">
        <f>0.00508*$D$29*(EXP((-0.29262488+0.015353171*($G$29+Y46)-0.00021252808*($G$29+Y46)^2)/(1-0.01319877*($G$29+Y46)+0.00015202596*($G$29+Y46)^2+0.00000045682417*($G$29+Y46)^3))*1/(0.00020020228-0.0000037499594*((0.0004*PI()*$B$40*0.06*W46)/((PI()*LN($B$29/$C$29))/((1/$C$29-1/$B$29)/2.54)))-0.00014238677*((0.0004*PI()*$B$40*0.06*W46)/((PI()*LN($B$29/$C$29))/((1/$C$29-1/$B$29)/2.54)))^2+0.0035452867*((0.0004*PI()*$B$40*0.06*W46)/((PI()*LN($B$29/$C$29))/((1/$C$29-1/$B$29)/2.54)))^3-0.0028614245*((0.0004*PI()*$B$40*0.06*W46)/((PI()*LN($B$29/$C$29))/((1/$C$29-1/$B$29)/2.54)))^4+0.00079295177*((0.0004*PI()*$B$40*0.06*W46)/((PI()*LN($B$29/$C$29))/((1/$C$29-1/$B$29)/2.54)))^5))*LN($B$29/$C$29)*$B$40*$B$40</f>
        <v>78.43810434896677</v>
      </c>
      <c r="Y46" s="54">
        <f>0.3*Z46-0.0008*Z46^1.5</f>
        <v>37.82094345558036</v>
      </c>
      <c r="Z46" s="58">
        <f>(W46)^2*($E$40+0.00393*(0.3*((W46)^2*$E$40*0.001)-0.0008*((W46)^2*$E$40*0.001)^1.5)*$E$40)*0.001</f>
        <v>130.02349106473073</v>
      </c>
      <c r="AA46" s="6"/>
      <c r="AB46" s="54"/>
      <c r="AC46" s="54"/>
      <c r="AD46" s="54"/>
      <c r="AE46" s="6"/>
    </row>
    <row r="47" spans="1:31" ht="12.75" customHeight="1">
      <c r="A47" s="6"/>
      <c r="B47" s="6"/>
      <c r="C47" s="6"/>
      <c r="D47" s="6" t="s">
        <v>51</v>
      </c>
      <c r="E47" s="6"/>
      <c r="F47" s="6"/>
      <c r="G47" s="6"/>
      <c r="H47" s="6"/>
      <c r="I47" s="6"/>
      <c r="J47" s="6"/>
      <c r="K47" s="44"/>
      <c r="L47" s="6"/>
      <c r="M47" s="6"/>
      <c r="N47" s="6"/>
      <c r="O47" s="6"/>
      <c r="P47" s="6"/>
      <c r="Q47" s="6"/>
      <c r="R47" s="6"/>
      <c r="S47" s="6"/>
      <c r="T47" s="6"/>
      <c r="U47" s="6"/>
      <c r="V47" s="6">
        <f t="shared" si="0"/>
        <v>44</v>
      </c>
      <c r="W47" s="57">
        <f>IF(ISNUMBER($G$33),$G$33,W46+10)</f>
        <v>430</v>
      </c>
      <c r="X47" s="54">
        <f>0.00508*$D$29*(EXP((-0.29262488+0.015353171*($G$29+Y47)-0.00021252808*($G$29+Y47)^2)/(1-0.01319877*($G$29+Y47)+0.00015202596*($G$29+Y47)^2+0.00000045682417*($G$29+Y47)^3))*1/(0.00020020228-0.0000037499594*((0.0004*PI()*$B$40*0.06*W47)/((PI()*LN($B$29/$C$29))/((1/$C$29-1/$B$29)/2.54)))-0.00014238677*((0.0004*PI()*$B$40*0.06*W47)/((PI()*LN($B$29/$C$29))/((1/$C$29-1/$B$29)/2.54)))^2+0.0035452867*((0.0004*PI()*$B$40*0.06*W47)/((PI()*LN($B$29/$C$29))/((1/$C$29-1/$B$29)/2.54)))^3-0.0028614245*((0.0004*PI()*$B$40*0.06*W47)/((PI()*LN($B$29/$C$29))/((1/$C$29-1/$B$29)/2.54)))^4+0.00079295177*((0.0004*PI()*$B$40*0.06*W47)/((PI()*LN($B$29/$C$29))/((1/$C$29-1/$B$29)/2.54)))^5))*LN($B$29/$C$29)*$B$40*$B$40</f>
        <v>73.44111527528386</v>
      </c>
      <c r="Y47" s="54">
        <f>0.3*Z47-0.0008*Z47^1.5</f>
        <v>39.82885485238827</v>
      </c>
      <c r="Z47" s="58">
        <f>(W47)^2*($E$40+0.00393*(0.3*((W47)^2*$E$40*0.001)-0.0008*((W47)^2*$E$40*0.001)^1.5)*$E$40)*0.001</f>
        <v>137.04088066861948</v>
      </c>
      <c r="AA47" s="6"/>
      <c r="AB47" s="54"/>
      <c r="AC47" s="54"/>
      <c r="AD47" s="54"/>
      <c r="AE47" s="6"/>
    </row>
    <row r="48" spans="1:31" ht="12.75" customHeight="1">
      <c r="A48" s="6"/>
      <c r="B48" s="6"/>
      <c r="C48" s="6"/>
      <c r="D48" s="6" t="s">
        <v>52</v>
      </c>
      <c r="E48" s="6"/>
      <c r="F48" s="6"/>
      <c r="G48" s="6"/>
      <c r="H48" s="6"/>
      <c r="I48" s="6"/>
      <c r="J48" s="6"/>
      <c r="K48" s="44"/>
      <c r="L48" s="6"/>
      <c r="M48" s="6"/>
      <c r="N48" s="6"/>
      <c r="O48" s="6"/>
      <c r="P48" s="6"/>
      <c r="Q48" s="6"/>
      <c r="R48" s="6"/>
      <c r="S48" s="6"/>
      <c r="T48" s="6"/>
      <c r="U48" s="6"/>
      <c r="V48" s="6">
        <f t="shared" si="0"/>
        <v>45</v>
      </c>
      <c r="W48" s="57">
        <f>IF(ISNUMBER($G$33),$G$33,W47+10)</f>
        <v>440</v>
      </c>
      <c r="X48" s="54">
        <f>0.00508*$D$29*(EXP((-0.29262488+0.015353171*($G$29+Y48)-0.00021252808*($G$29+Y48)^2)/(1-0.01319877*($G$29+Y48)+0.00015202596*($G$29+Y48)^2+0.00000045682417*($G$29+Y48)^3))*1/(0.00020020228-0.0000037499594*((0.0004*PI()*$B$40*0.06*W48)/((PI()*LN($B$29/$C$29))/((1/$C$29-1/$B$29)/2.54)))-0.00014238677*((0.0004*PI()*$B$40*0.06*W48)/((PI()*LN($B$29/$C$29))/((1/$C$29-1/$B$29)/2.54)))^2+0.0035452867*((0.0004*PI()*$B$40*0.06*W48)/((PI()*LN($B$29/$C$29))/((1/$C$29-1/$B$29)/2.54)))^3-0.0028614245*((0.0004*PI()*$B$40*0.06*W48)/((PI()*LN($B$29/$C$29))/((1/$C$29-1/$B$29)/2.54)))^4+0.00079295177*((0.0004*PI()*$B$40*0.06*W48)/((PI()*LN($B$29/$C$29))/((1/$C$29-1/$B$29)/2.54)))^5))*LN($B$29/$C$29)*$B$40*$B$40</f>
        <v>68.74775154615978</v>
      </c>
      <c r="Y48" s="54">
        <f aca="true" t="shared" si="3" ref="Y48:Y53">0.3*Z48-0.0008*Z48^1.5</f>
        <v>41.90160216092663</v>
      </c>
      <c r="Z48" s="58">
        <f>(W48)^2*($E$40+0.00393*(0.3*((W48)^2*$E$40*0.001)-0.0008*((W48)^2*$E$40*0.001)^1.5)*$E$40)*0.001</f>
        <v>144.2941327837649</v>
      </c>
      <c r="AA48" s="6"/>
      <c r="AB48" s="54"/>
      <c r="AC48" s="54"/>
      <c r="AD48" s="54"/>
      <c r="AE48" s="6"/>
    </row>
    <row r="49" spans="1:31" ht="12.75" customHeight="1">
      <c r="A49" s="6"/>
      <c r="B49" s="6"/>
      <c r="C49" s="6"/>
      <c r="D49" s="6" t="s">
        <v>53</v>
      </c>
      <c r="E49" s="6"/>
      <c r="F49" s="6"/>
      <c r="G49" s="6"/>
      <c r="H49" s="6"/>
      <c r="I49" s="6"/>
      <c r="J49" s="6"/>
      <c r="K49" s="44"/>
      <c r="L49" s="6"/>
      <c r="M49" s="6"/>
      <c r="N49" s="6"/>
      <c r="O49" s="6"/>
      <c r="P49" s="6"/>
      <c r="Q49" s="6"/>
      <c r="R49" s="6"/>
      <c r="S49" s="6"/>
      <c r="T49" s="6"/>
      <c r="U49" s="6"/>
      <c r="V49" s="6">
        <f t="shared" si="0"/>
        <v>46</v>
      </c>
      <c r="W49" s="57">
        <f>IF(ISNUMBER($G$33),$G$33,W48+10)</f>
        <v>450</v>
      </c>
      <c r="X49" s="54">
        <f>0.00508*$D$29*(EXP((-0.29262488+0.015353171*($G$29+Y49)-0.00021252808*($G$29+Y49)^2)/(1-0.01319877*($G$29+Y49)+0.00015202596*($G$29+Y49)^2+0.00000045682417*($G$29+Y49)^3))*1/(0.00020020228-0.0000037499594*((0.0004*PI()*$B$40*0.06*W49)/((PI()*LN($B$29/$C$29))/((1/$C$29-1/$B$29)/2.54)))-0.00014238677*((0.0004*PI()*$B$40*0.06*W49)/((PI()*LN($B$29/$C$29))/((1/$C$29-1/$B$29)/2.54)))^2+0.0035452867*((0.0004*PI()*$B$40*0.06*W49)/((PI()*LN($B$29/$C$29))/((1/$C$29-1/$B$29)/2.54)))^3-0.0028614245*((0.0004*PI()*$B$40*0.06*W49)/((PI()*LN($B$29/$C$29))/((1/$C$29-1/$B$29)/2.54)))^4+0.00079295177*((0.0004*PI()*$B$40*0.06*W49)/((PI()*LN($B$29/$C$29))/((1/$C$29-1/$B$29)/2.54)))^5))*LN($B$29/$C$29)*$B$40*$B$40</f>
        <v>64.34339978542053</v>
      </c>
      <c r="Y49" s="54">
        <f t="shared" si="3"/>
        <v>44.040373633192175</v>
      </c>
      <c r="Z49" s="58">
        <f>(W49)^2*($E$40+0.00393*(0.3*((W49)^2*$E$40*0.001)-0.0008*((W49)^2*$E$40*0.001)^1.5)*$E$40)*0.001</f>
        <v>151.7880833010024</v>
      </c>
      <c r="AA49" s="6"/>
      <c r="AB49" s="54"/>
      <c r="AC49" s="54"/>
      <c r="AD49" s="54"/>
      <c r="AE49" s="6"/>
    </row>
    <row r="50" spans="1:31" ht="12.75" customHeight="1">
      <c r="A50" s="6"/>
      <c r="B50" s="6"/>
      <c r="C50" s="6"/>
      <c r="D50" s="6" t="s">
        <v>91</v>
      </c>
      <c r="E50" s="6"/>
      <c r="F50" s="6"/>
      <c r="G50" s="6"/>
      <c r="H50" s="6"/>
      <c r="I50" s="6"/>
      <c r="J50" s="6"/>
      <c r="K50" s="44"/>
      <c r="L50" s="6"/>
      <c r="M50" s="6"/>
      <c r="N50" s="6"/>
      <c r="O50" s="6"/>
      <c r="P50" s="6"/>
      <c r="Q50" s="6"/>
      <c r="R50" s="6"/>
      <c r="S50" s="6"/>
      <c r="T50" s="6"/>
      <c r="U50" s="6"/>
      <c r="V50" s="6">
        <f t="shared" si="0"/>
        <v>47</v>
      </c>
      <c r="W50" s="57">
        <f>IF(ISNUMBER($G$33),$G$33,W49+10)</f>
        <v>460</v>
      </c>
      <c r="X50" s="54">
        <f>0.00508*$D$29*(EXP((-0.29262488+0.015353171*($G$29+Y50)-0.00021252808*($G$29+Y50)^2)/(1-0.01319877*($G$29+Y50)+0.00015202596*($G$29+Y50)^2+0.00000045682417*($G$29+Y50)^3))*1/(0.00020020228-0.0000037499594*((0.0004*PI()*$B$40*0.06*W50)/((PI()*LN($B$29/$C$29))/((1/$C$29-1/$B$29)/2.54)))-0.00014238677*((0.0004*PI()*$B$40*0.06*W50)/((PI()*LN($B$29/$C$29))/((1/$C$29-1/$B$29)/2.54)))^2+0.0035452867*((0.0004*PI()*$B$40*0.06*W50)/((PI()*LN($B$29/$C$29))/((1/$C$29-1/$B$29)/2.54)))^3-0.0028614245*((0.0004*PI()*$B$40*0.06*W50)/((PI()*LN($B$29/$C$29))/((1/$C$29-1/$B$29)/2.54)))^4+0.00079295177*((0.0004*PI()*$B$40*0.06*W50)/((PI()*LN($B$29/$C$29))/((1/$C$29-1/$B$29)/2.54)))^5))*LN($B$29/$C$29)*$B$40*$B$40</f>
        <v>60.21460054565494</v>
      </c>
      <c r="Y50" s="54">
        <f t="shared" si="3"/>
        <v>46.24637906423811</v>
      </c>
      <c r="Z50" s="58">
        <f>(W50)^2*($E$40+0.00393*(0.3*((W50)^2*$E$40*0.001)-0.0008*((W50)^2*$E$40*0.001)^1.5)*$E$40)*0.001</f>
        <v>159.5276701920818</v>
      </c>
      <c r="AA50" s="6"/>
      <c r="AB50" s="54"/>
      <c r="AC50" s="54"/>
      <c r="AD50" s="54"/>
      <c r="AE50" s="6"/>
    </row>
    <row r="51" spans="1:31" ht="12.75" customHeight="1">
      <c r="A51" s="6"/>
      <c r="B51" s="6"/>
      <c r="C51" s="6"/>
      <c r="D51" s="6"/>
      <c r="F51" s="6"/>
      <c r="G51" s="6"/>
      <c r="H51" s="6"/>
      <c r="I51" s="6"/>
      <c r="J51" s="6"/>
      <c r="K51" s="44"/>
      <c r="L51" s="6"/>
      <c r="M51" s="6"/>
      <c r="N51" s="6"/>
      <c r="O51" s="6"/>
      <c r="P51" s="6"/>
      <c r="Q51" s="6"/>
      <c r="R51" s="6"/>
      <c r="S51" s="6"/>
      <c r="T51" s="6"/>
      <c r="U51" s="6"/>
      <c r="V51" s="6">
        <f t="shared" si="0"/>
        <v>48</v>
      </c>
      <c r="W51" s="57">
        <f>IF(ISNUMBER($G$33),$G$33,W50+10)</f>
        <v>470</v>
      </c>
      <c r="X51" s="54">
        <f>0.00508*$D$29*(EXP((-0.29262488+0.015353171*($G$29+Y51)-0.00021252808*($G$29+Y51)^2)/(1-0.01319877*($G$29+Y51)+0.00015202596*($G$29+Y51)^2+0.00000045682417*($G$29+Y51)^3))*1/(0.00020020228-0.0000037499594*((0.0004*PI()*$B$40*0.06*W51)/((PI()*LN($B$29/$C$29))/((1/$C$29-1/$B$29)/2.54)))-0.00014238677*((0.0004*PI()*$B$40*0.06*W51)/((PI()*LN($B$29/$C$29))/((1/$C$29-1/$B$29)/2.54)))^2+0.0035452867*((0.0004*PI()*$B$40*0.06*W51)/((PI()*LN($B$29/$C$29))/((1/$C$29-1/$B$29)/2.54)))^3-0.0028614245*((0.0004*PI()*$B$40*0.06*W51)/((PI()*LN($B$29/$C$29))/((1/$C$29-1/$B$29)/2.54)))^4+0.00079295177*((0.0004*PI()*$B$40*0.06*W51)/((PI()*LN($B$29/$C$29))/((1/$C$29-1/$B$29)/2.54)))^5))*LN($B$29/$C$29)*$B$40*$B$40</f>
        <v>56.348632929811544</v>
      </c>
      <c r="Y51" s="54">
        <f t="shared" si="3"/>
        <v>48.52084941065082</v>
      </c>
      <c r="Z51" s="58">
        <f>(W51)^2*($E$40+0.00393*(0.3*((W51)^2*$E$40*0.001)-0.0008*((W51)^2*$E$40*0.001)^1.5)*$E$40)*0.001</f>
        <v>167.5179331011208</v>
      </c>
      <c r="AA51" s="6"/>
      <c r="AB51" s="54"/>
      <c r="AC51" s="54"/>
      <c r="AD51" s="54"/>
      <c r="AE51" s="6"/>
    </row>
    <row r="52" spans="1:31" ht="12.75" customHeight="1">
      <c r="A52" s="6"/>
      <c r="B52" s="6"/>
      <c r="C52" s="6"/>
      <c r="D52" s="6" t="s">
        <v>54</v>
      </c>
      <c r="E52" s="6"/>
      <c r="F52" s="6"/>
      <c r="G52" s="6"/>
      <c r="H52" s="6"/>
      <c r="I52" s="6"/>
      <c r="J52" s="6"/>
      <c r="K52" s="44"/>
      <c r="L52" s="6"/>
      <c r="M52" s="6"/>
      <c r="N52" s="6"/>
      <c r="O52" s="6"/>
      <c r="P52" s="6"/>
      <c r="Q52" s="6"/>
      <c r="R52" s="6"/>
      <c r="S52" s="6"/>
      <c r="T52" s="6"/>
      <c r="U52" s="6"/>
      <c r="V52" s="6">
        <f t="shared" si="0"/>
        <v>49</v>
      </c>
      <c r="W52" s="57">
        <f>IF(ISNUMBER($G$33),$G$33,W51+10)</f>
        <v>480</v>
      </c>
      <c r="X52" s="54">
        <f>0.00508*$D$29*(EXP((-0.29262488+0.015353171*($G$29+Y52)-0.00021252808*($G$29+Y52)^2)/(1-0.01319877*($G$29+Y52)+0.00015202596*($G$29+Y52)^2+0.00000045682417*($G$29+Y52)^3))*1/(0.00020020228-0.0000037499594*((0.0004*PI()*$B$40*0.06*W52)/((PI()*LN($B$29/$C$29))/((1/$C$29-1/$B$29)/2.54)))-0.00014238677*((0.0004*PI()*$B$40*0.06*W52)/((PI()*LN($B$29/$C$29))/((1/$C$29-1/$B$29)/2.54)))^2+0.0035452867*((0.0004*PI()*$B$40*0.06*W52)/((PI()*LN($B$29/$C$29))/((1/$C$29-1/$B$29)/2.54)))^3-0.0028614245*((0.0004*PI()*$B$40*0.06*W52)/((PI()*LN($B$29/$C$29))/((1/$C$29-1/$B$29)/2.54)))^4+0.00079295177*((0.0004*PI()*$B$40*0.06*W52)/((PI()*LN($B$29/$C$29))/((1/$C$29-1/$B$29)/2.54)))^5))*LN($B$29/$C$29)*$B$40*$B$40</f>
        <v>52.73319486791065</v>
      </c>
      <c r="Y52" s="54">
        <f t="shared" si="3"/>
        <v>50.86503640589568</v>
      </c>
      <c r="Z52" s="58">
        <f>(W52)^2*($E$40+0.00393*(0.3*((W52)^2*$E$40*0.001)-0.0008*((W52)^2*$E$40*0.001)^1.5)*$E$40)*0.001</f>
        <v>175.7640129360582</v>
      </c>
      <c r="AA52" s="6"/>
      <c r="AB52" s="54"/>
      <c r="AC52" s="54"/>
      <c r="AD52" s="54"/>
      <c r="AE52" s="6"/>
    </row>
    <row r="53" spans="1:31" ht="12.75" customHeight="1">
      <c r="A53" s="6"/>
      <c r="B53" s="6"/>
      <c r="C53" s="6"/>
      <c r="D53" s="6" t="s">
        <v>89</v>
      </c>
      <c r="E53" s="6"/>
      <c r="F53" s="6"/>
      <c r="G53" s="6"/>
      <c r="H53" s="6"/>
      <c r="I53" s="6"/>
      <c r="J53" s="6"/>
      <c r="K53" s="44"/>
      <c r="L53" s="6"/>
      <c r="M53" s="6"/>
      <c r="N53" s="6"/>
      <c r="O53" s="6"/>
      <c r="P53" s="6"/>
      <c r="Q53" s="6"/>
      <c r="R53" s="6"/>
      <c r="S53" s="6"/>
      <c r="T53" s="6"/>
      <c r="U53" s="6"/>
      <c r="V53" s="6">
        <f t="shared" si="0"/>
        <v>50</v>
      </c>
      <c r="W53" s="57">
        <f>IF(ISNUMBER($G$33),$G$33,W52+10)</f>
        <v>490</v>
      </c>
      <c r="X53" s="54">
        <f>0.00508*$D$29*(EXP((-0.29262488+0.015353171*($G$29+Y53)-0.00021252808*($G$29+Y53)^2)/(1-0.01319877*($G$29+Y53)+0.00015202596*($G$29+Y53)^2+0.00000045682417*($G$29+Y53)^3))*1/(0.00020020228-0.0000037499594*((0.0004*PI()*$B$40*0.06*W53)/((PI()*LN($B$29/$C$29))/((1/$C$29-1/$B$29)/2.54)))-0.00014238677*((0.0004*PI()*$B$40*0.06*W53)/((PI()*LN($B$29/$C$29))/((1/$C$29-1/$B$29)/2.54)))^2+0.0035452867*((0.0004*PI()*$B$40*0.06*W53)/((PI()*LN($B$29/$C$29))/((1/$C$29-1/$B$29)/2.54)))^3-0.0028614245*((0.0004*PI()*$B$40*0.06*W53)/((PI()*LN($B$29/$C$29))/((1/$C$29-1/$B$29)/2.54)))^4+0.00079295177*((0.0004*PI()*$B$40*0.06*W53)/((PI()*LN($B$29/$C$29))/((1/$C$29-1/$B$29)/2.54)))^5))*LN($B$29/$C$29)*$B$40*$B$40</f>
        <v>49.35617591014115</v>
      </c>
      <c r="Y53" s="54">
        <f t="shared" si="3"/>
        <v>53.28021217251359</v>
      </c>
      <c r="Z53" s="58">
        <f>(W53)^2*($E$40+0.00393*(0.3*((W53)^2*$E$40*0.001)-0.0008*((W53)^2*$E$40*0.001)^1.5)*$E$40)*0.001</f>
        <v>184.27115146010712</v>
      </c>
      <c r="AA53" s="6"/>
      <c r="AB53" s="54"/>
      <c r="AC53" s="54"/>
      <c r="AD53" s="54"/>
      <c r="AE53" s="6"/>
    </row>
    <row r="54" spans="1:31" ht="12.75" customHeight="1">
      <c r="A54" s="6"/>
      <c r="B54" s="6"/>
      <c r="C54" s="6"/>
      <c r="D54" s="6" t="s">
        <v>90</v>
      </c>
      <c r="E54" s="6"/>
      <c r="F54" s="6"/>
      <c r="G54" s="6"/>
      <c r="H54" s="6"/>
      <c r="I54" s="6"/>
      <c r="J54" s="6"/>
      <c r="K54" s="44"/>
      <c r="L54" s="6"/>
      <c r="M54" s="6"/>
      <c r="N54" s="6"/>
      <c r="O54" s="6"/>
      <c r="P54" s="6"/>
      <c r="Q54" s="6"/>
      <c r="R54" s="6"/>
      <c r="S54" s="6"/>
      <c r="T54" s="6"/>
      <c r="U54" s="6"/>
      <c r="V54" s="6">
        <f t="shared" si="0"/>
        <v>51</v>
      </c>
      <c r="W54" s="59">
        <f>IF(ISNUMBER($G$33),$G$33,W53+10)</f>
        <v>500</v>
      </c>
      <c r="X54" s="60">
        <f>0.00508*$D$29*(EXP((-0.29262488+0.015353171*($G$29+Y54)-0.00021252808*($G$29+Y54)^2)/(1-0.01319877*($G$29+Y54)+0.00015202596*($G$29+Y54)^2+0.00000045682417*($G$29+Y54)^3))*1/(0.00020020228-0.0000037499594*((0.0004*PI()*$B$40*0.06*W54)/((PI()*LN($B$29/$C$29))/((1/$C$29-1/$B$29)/2.54)))-0.00014238677*((0.0004*PI()*$B$40*0.06*W54)/((PI()*LN($B$29/$C$29))/((1/$C$29-1/$B$29)/2.54)))^2+0.0035452867*((0.0004*PI()*$B$40*0.06*W54)/((PI()*LN($B$29/$C$29))/((1/$C$29-1/$B$29)/2.54)))^3-0.0028614245*((0.0004*PI()*$B$40*0.06*W54)/((PI()*LN($B$29/$C$29))/((1/$C$29-1/$B$29)/2.54)))^4+0.00079295177*((0.0004*PI()*$B$40*0.06*W54)/((PI()*LN($B$29/$C$29))/((1/$C$29-1/$B$29)/2.54)))^5))*LN($B$29/$C$29)*$B$40*$B$40</f>
        <v>46.205515181334775</v>
      </c>
      <c r="Y54" s="60">
        <f t="shared" si="1"/>
        <v>55.76766883115291</v>
      </c>
      <c r="Z54" s="61">
        <f>(W54)^2*($E$40+0.00393*(0.3*((W54)^2*$E$40*0.001)-0.0008*((W54)^2*$E$40*0.001)^1.5)*$E$40)*0.001</f>
        <v>193.04469088320857</v>
      </c>
      <c r="AA54" s="6"/>
      <c r="AB54" s="54"/>
      <c r="AC54" s="54"/>
      <c r="AD54" s="54"/>
      <c r="AE54" s="6"/>
    </row>
    <row r="55" spans="1:31" ht="12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44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54"/>
      <c r="X55" s="54"/>
      <c r="Y55" s="54"/>
      <c r="Z55" s="54"/>
      <c r="AA55" s="6"/>
      <c r="AB55" s="54"/>
      <c r="AC55" s="54"/>
      <c r="AD55" s="54"/>
      <c r="AE55" s="6"/>
    </row>
    <row r="56" spans="1:31" ht="12.75" customHeight="1">
      <c r="A56" s="6"/>
      <c r="B56" s="6"/>
      <c r="C56" s="6"/>
      <c r="D56" s="6" t="s">
        <v>55</v>
      </c>
      <c r="E56" s="6"/>
      <c r="F56" s="6"/>
      <c r="G56" s="6"/>
      <c r="H56" s="6"/>
      <c r="I56" s="6"/>
      <c r="J56" s="6"/>
      <c r="K56" s="44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2.75" customHeight="1">
      <c r="A57" s="6"/>
      <c r="B57" s="6"/>
      <c r="C57" s="6"/>
      <c r="D57" s="6" t="s">
        <v>56</v>
      </c>
      <c r="E57" s="6"/>
      <c r="F57" s="6"/>
      <c r="G57" s="6"/>
      <c r="H57" s="6"/>
      <c r="I57" s="6"/>
      <c r="J57" s="6"/>
      <c r="K57" s="44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2.75" customHeight="1">
      <c r="A58" s="6"/>
      <c r="B58" s="6"/>
      <c r="C58" s="6"/>
      <c r="D58" s="6" t="s">
        <v>57</v>
      </c>
      <c r="E58" s="6"/>
      <c r="F58" s="6"/>
      <c r="G58" s="6"/>
      <c r="H58" s="6"/>
      <c r="I58" s="6"/>
      <c r="J58" s="6"/>
      <c r="K58" s="44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12.75" customHeight="1">
      <c r="A59" s="6"/>
      <c r="B59" s="6"/>
      <c r="C59" s="6"/>
      <c r="D59" s="6" t="s">
        <v>58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12.75" customHeight="1">
      <c r="A60" s="6"/>
      <c r="B60" s="6"/>
      <c r="C60" s="6"/>
      <c r="D60" s="6" t="s">
        <v>59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2.75" customHeight="1">
      <c r="A61" s="6"/>
      <c r="B61" s="6"/>
      <c r="C61" s="6"/>
      <c r="D61" s="6" t="s">
        <v>60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2.75" customHeight="1">
      <c r="A62" s="6"/>
      <c r="B62" s="6"/>
      <c r="C62" s="6"/>
      <c r="D62" s="6" t="s">
        <v>61</v>
      </c>
      <c r="E62" s="6"/>
      <c r="F62" s="6"/>
      <c r="G62" s="6"/>
      <c r="H62" s="6"/>
      <c r="I62" s="6"/>
      <c r="J62" s="6"/>
      <c r="K62" s="44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2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2.75" customHeight="1">
      <c r="A64" s="6"/>
      <c r="B64" s="6"/>
      <c r="C64" s="6"/>
      <c r="D64" s="6" t="s">
        <v>62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2.75" customHeight="1">
      <c r="A65" s="6"/>
      <c r="B65" s="6"/>
      <c r="C65" s="6"/>
      <c r="D65" s="6" t="s">
        <v>63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2.75" customHeight="1">
      <c r="A66" s="6"/>
      <c r="B66" s="6"/>
      <c r="C66" s="6"/>
      <c r="D66" s="6" t="s">
        <v>64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2.75" customHeight="1">
      <c r="A67" s="6"/>
      <c r="B67" s="6"/>
      <c r="C67" s="6"/>
      <c r="D67" s="6" t="s">
        <v>65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2.75" customHeight="1">
      <c r="A68" s="6"/>
      <c r="B68" s="6"/>
      <c r="C68" s="6"/>
      <c r="D68" s="6" t="s">
        <v>116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2.75" customHeight="1">
      <c r="A69" s="6"/>
      <c r="B69" s="6"/>
      <c r="C69" s="6"/>
      <c r="D69" s="6" t="s">
        <v>117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2.75" customHeight="1">
      <c r="A70" s="6"/>
      <c r="B70" s="6"/>
      <c r="C70" s="6"/>
      <c r="D70" s="6" t="s">
        <v>118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2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2.75" customHeight="1">
      <c r="A72" s="6"/>
      <c r="B72" s="6"/>
      <c r="C72" s="95" t="s">
        <v>44</v>
      </c>
      <c r="D72" s="6" t="s">
        <v>66</v>
      </c>
      <c r="E72" s="6"/>
      <c r="F72" s="6"/>
      <c r="G72" s="6"/>
      <c r="H72" s="6"/>
      <c r="I72" s="6"/>
      <c r="J72" s="6"/>
      <c r="K72" s="44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12.75" customHeight="1">
      <c r="A73" s="6"/>
      <c r="B73" s="6"/>
      <c r="C73" s="6"/>
      <c r="D73" s="6" t="s">
        <v>67</v>
      </c>
      <c r="E73" s="6"/>
      <c r="F73" s="6"/>
      <c r="G73" s="6"/>
      <c r="H73" s="6"/>
      <c r="I73" s="6"/>
      <c r="J73" s="6"/>
      <c r="K73" s="44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2.75" customHeight="1">
      <c r="A74" s="6"/>
      <c r="B74" s="6"/>
      <c r="C74" s="6"/>
      <c r="D74" s="6" t="s">
        <v>68</v>
      </c>
      <c r="E74" s="6"/>
      <c r="F74" s="6"/>
      <c r="G74" s="6"/>
      <c r="H74" s="6"/>
      <c r="I74" s="6"/>
      <c r="J74" s="6"/>
      <c r="K74" s="44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2.75" customHeight="1">
      <c r="A75" s="6"/>
      <c r="B75" s="6"/>
      <c r="C75" s="6"/>
      <c r="D75" s="6" t="s">
        <v>69</v>
      </c>
      <c r="E75" s="6"/>
      <c r="F75" s="6"/>
      <c r="G75" s="6"/>
      <c r="H75" s="6"/>
      <c r="I75" s="6"/>
      <c r="J75" s="6"/>
      <c r="K75" s="44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2.75" customHeight="1">
      <c r="A76" s="6"/>
      <c r="B76" s="6"/>
      <c r="C76" s="6"/>
      <c r="E76" s="6"/>
      <c r="F76" s="6"/>
      <c r="G76" s="6"/>
      <c r="H76" s="6"/>
      <c r="I76" s="6"/>
      <c r="J76" s="6"/>
      <c r="K76" s="44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2.75" customHeight="1">
      <c r="A77" s="6"/>
      <c r="B77" s="6"/>
      <c r="C77" s="6"/>
      <c r="D77" s="6" t="s">
        <v>113</v>
      </c>
      <c r="E77" s="6"/>
      <c r="F77" s="6"/>
      <c r="G77" s="6"/>
      <c r="H77" s="6"/>
      <c r="I77" s="6"/>
      <c r="J77" s="6"/>
      <c r="K77" s="44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2.75" customHeight="1">
      <c r="A78" s="6"/>
      <c r="B78" s="6"/>
      <c r="C78" s="6"/>
      <c r="D78" s="6" t="s">
        <v>70</v>
      </c>
      <c r="E78" s="6"/>
      <c r="F78" s="6"/>
      <c r="G78" s="6"/>
      <c r="H78" s="6"/>
      <c r="I78" s="6"/>
      <c r="J78" s="6"/>
      <c r="K78" s="44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2.75" customHeight="1">
      <c r="A79" s="6"/>
      <c r="B79" s="6"/>
      <c r="C79" s="6"/>
      <c r="D79" s="6" t="s">
        <v>71</v>
      </c>
      <c r="E79" s="6"/>
      <c r="F79" s="6"/>
      <c r="G79" s="6"/>
      <c r="H79" s="6"/>
      <c r="I79" s="6"/>
      <c r="J79" s="6"/>
      <c r="K79" s="44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2.75" customHeight="1">
      <c r="A80" s="6"/>
      <c r="B80" s="6"/>
      <c r="C80" s="6"/>
      <c r="D80" s="6" t="s">
        <v>72</v>
      </c>
      <c r="E80" s="6"/>
      <c r="F80" s="6"/>
      <c r="G80" s="6"/>
      <c r="H80" s="6"/>
      <c r="I80" s="6"/>
      <c r="J80" s="6"/>
      <c r="K80" s="44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44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2.75" customHeight="1">
      <c r="A82" s="6"/>
      <c r="B82" s="6"/>
      <c r="C82" s="6"/>
      <c r="D82" s="6" t="s">
        <v>73</v>
      </c>
      <c r="E82" s="6"/>
      <c r="F82" s="6"/>
      <c r="G82" s="6"/>
      <c r="H82" s="6"/>
      <c r="I82" s="6"/>
      <c r="J82" s="6"/>
      <c r="K82" s="44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2.75" customHeight="1">
      <c r="A83" s="6"/>
      <c r="B83" s="6"/>
      <c r="C83" s="6"/>
      <c r="D83" s="6" t="s">
        <v>74</v>
      </c>
      <c r="E83" s="6"/>
      <c r="F83" s="6"/>
      <c r="G83" s="6"/>
      <c r="H83" s="6"/>
      <c r="I83" s="6"/>
      <c r="J83" s="6"/>
      <c r="K83" s="44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2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44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2.75" customHeight="1">
      <c r="A85" s="6"/>
      <c r="B85" s="6"/>
      <c r="C85" s="6"/>
      <c r="D85" s="6" t="s">
        <v>75</v>
      </c>
      <c r="E85" s="6"/>
      <c r="F85" s="6"/>
      <c r="G85" s="6"/>
      <c r="H85" s="6"/>
      <c r="I85" s="6"/>
      <c r="J85" s="6"/>
      <c r="K85" s="44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2.75" customHeight="1">
      <c r="A86" s="6"/>
      <c r="B86" s="6"/>
      <c r="C86" s="6"/>
      <c r="D86" s="6" t="s">
        <v>76</v>
      </c>
      <c r="E86" s="6"/>
      <c r="F86" s="6"/>
      <c r="G86" s="6"/>
      <c r="H86" s="6"/>
      <c r="I86" s="6"/>
      <c r="J86" s="6"/>
      <c r="K86" s="44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2.75" customHeight="1">
      <c r="A87" s="6"/>
      <c r="B87" s="6"/>
      <c r="C87" s="6"/>
      <c r="D87" s="6" t="s">
        <v>77</v>
      </c>
      <c r="E87" s="6"/>
      <c r="F87" s="6"/>
      <c r="G87" s="6"/>
      <c r="H87" s="6"/>
      <c r="I87" s="6"/>
      <c r="J87" s="6"/>
      <c r="K87" s="44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2.75" customHeight="1">
      <c r="A88" s="6"/>
      <c r="B88" s="6"/>
      <c r="C88" s="6"/>
      <c r="D88" s="6" t="s">
        <v>78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2.75" customHeight="1">
      <c r="A90" s="6"/>
      <c r="B90" s="6"/>
      <c r="C90" s="6"/>
      <c r="D90" s="6" t="s">
        <v>79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2.75" customHeight="1">
      <c r="A91" s="6"/>
      <c r="B91" s="6"/>
      <c r="C91" s="6"/>
      <c r="D91" s="6" t="s">
        <v>80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2.75" customHeight="1">
      <c r="A92" s="6"/>
      <c r="B92" s="6"/>
      <c r="C92" s="6"/>
      <c r="D92" s="6" t="s">
        <v>81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2.75" customHeight="1">
      <c r="A93" s="6"/>
      <c r="B93" s="6"/>
      <c r="C93" s="6"/>
      <c r="D93" s="6" t="s">
        <v>82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2.75" customHeight="1">
      <c r="A94" s="6"/>
      <c r="B94" s="6"/>
      <c r="C94" s="6"/>
      <c r="D94" s="6" t="s">
        <v>83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2.75" customHeight="1">
      <c r="A95" s="6"/>
      <c r="B95" s="6"/>
      <c r="C95" s="6"/>
      <c r="D95" s="6" t="s">
        <v>84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2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12.75" customHeight="1">
      <c r="A97" s="6"/>
      <c r="B97" s="6"/>
      <c r="C97" s="6"/>
      <c r="D97" s="6" t="s">
        <v>85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2.75" customHeight="1">
      <c r="A98" s="6"/>
      <c r="B98" s="6"/>
      <c r="C98" s="6"/>
      <c r="D98" s="6" t="s">
        <v>94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2.75" customHeight="1">
      <c r="A99" s="6"/>
      <c r="B99" s="6"/>
      <c r="C99" s="6"/>
      <c r="D99" s="6" t="s">
        <v>95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2.75" customHeight="1">
      <c r="A100" s="6"/>
      <c r="B100" s="6"/>
      <c r="C100" s="6"/>
      <c r="D100" s="6" t="s">
        <v>93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spans="1:31" ht="12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spans="1:31" ht="12.75" customHeight="1">
      <c r="A102" s="6"/>
      <c r="B102" s="6"/>
      <c r="C102" s="6"/>
      <c r="D102" s="6"/>
      <c r="E102" s="6"/>
      <c r="F102" s="6"/>
      <c r="G102" s="95" t="s">
        <v>37</v>
      </c>
      <c r="H102" s="96" t="s">
        <v>36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spans="1:31" ht="12.75" customHeight="1">
      <c r="A103" s="6"/>
      <c r="B103" s="6"/>
      <c r="C103" s="6"/>
      <c r="D103" s="6"/>
      <c r="E103" s="6"/>
      <c r="F103" s="6"/>
      <c r="G103" s="95" t="s">
        <v>38</v>
      </c>
      <c r="H103" s="96" t="s">
        <v>41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spans="1:31" ht="12.75" customHeight="1">
      <c r="A104" s="6"/>
      <c r="B104" s="6"/>
      <c r="C104" s="6"/>
      <c r="D104" s="6"/>
      <c r="E104" s="6"/>
      <c r="F104" s="6"/>
      <c r="G104" s="95" t="s">
        <v>39</v>
      </c>
      <c r="H104" s="96" t="s">
        <v>42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spans="1:31" ht="12.75" customHeight="1">
      <c r="A105" s="6"/>
      <c r="B105" s="6"/>
      <c r="C105" s="6"/>
      <c r="D105" s="6"/>
      <c r="E105" s="6"/>
      <c r="F105" s="6"/>
      <c r="G105" s="95" t="s">
        <v>40</v>
      </c>
      <c r="H105" s="96" t="s">
        <v>43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spans="1:31" ht="12.75" customHeight="1">
      <c r="A106" s="6"/>
      <c r="B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spans="1:31" ht="12.75" customHeight="1">
      <c r="A107" s="6"/>
      <c r="B107" s="6"/>
      <c r="C107" s="95" t="s">
        <v>99</v>
      </c>
      <c r="D107" s="6" t="s">
        <v>46</v>
      </c>
      <c r="E107" s="6" t="s">
        <v>100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spans="1:31" ht="12.75" customHeight="1">
      <c r="A108" s="6"/>
      <c r="B108" s="6"/>
      <c r="C108" s="6"/>
      <c r="D108" s="6" t="s">
        <v>47</v>
      </c>
      <c r="E108" s="6" t="s">
        <v>106</v>
      </c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spans="1:31" ht="12.75" customHeight="1">
      <c r="A109" s="6"/>
      <c r="B109" s="6"/>
      <c r="C109" s="6"/>
      <c r="E109" s="6" t="s">
        <v>107</v>
      </c>
      <c r="F109" s="6"/>
      <c r="G109" s="6"/>
      <c r="H109" s="6"/>
      <c r="I109" s="6"/>
      <c r="J109" s="6"/>
      <c r="K109" s="6"/>
      <c r="L109" s="1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spans="1:31" ht="12.75" customHeight="1">
      <c r="A110" s="6"/>
      <c r="B110" s="6"/>
      <c r="C110" s="6"/>
      <c r="D110" s="6"/>
      <c r="E110" t="s">
        <v>108</v>
      </c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spans="1:31" ht="12.75" customHeight="1">
      <c r="A111" s="6"/>
      <c r="B111" s="6"/>
      <c r="C111" s="6"/>
      <c r="D111" s="6" t="s">
        <v>48</v>
      </c>
      <c r="E111" s="6" t="s">
        <v>102</v>
      </c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spans="1:31" ht="12.75" customHeight="1">
      <c r="A112" s="6"/>
      <c r="B112" s="6"/>
      <c r="C112" s="6"/>
      <c r="D112" s="6"/>
      <c r="E112" s="6" t="s">
        <v>103</v>
      </c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spans="1:31" ht="12.75" customHeight="1">
      <c r="A113" s="6"/>
      <c r="B113" s="6"/>
      <c r="C113" s="6"/>
      <c r="D113" s="6" t="s">
        <v>92</v>
      </c>
      <c r="E113" s="6" t="s">
        <v>86</v>
      </c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spans="1:31" ht="12.75" customHeight="1">
      <c r="A114" s="6"/>
      <c r="B114" s="6"/>
      <c r="C114" s="6"/>
      <c r="D114" s="6"/>
      <c r="E114" s="6" t="s">
        <v>87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spans="1:31" ht="12.75" customHeight="1">
      <c r="A115" s="6"/>
      <c r="B115" s="6"/>
      <c r="C115" s="6"/>
      <c r="D115" s="6"/>
      <c r="E115" s="6" t="s">
        <v>88</v>
      </c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spans="1:31" ht="12.75" customHeight="1">
      <c r="A116" s="6"/>
      <c r="B116" s="6"/>
      <c r="C116" s="6"/>
      <c r="D116" s="6" t="s">
        <v>101</v>
      </c>
      <c r="E116" s="6" t="s">
        <v>96</v>
      </c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spans="1:31" ht="12.75" customHeight="1">
      <c r="A117" s="6"/>
      <c r="B117" s="6"/>
      <c r="C117" s="6"/>
      <c r="D117" s="6"/>
      <c r="E117" s="6" t="s">
        <v>97</v>
      </c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spans="1:31" ht="12.75" customHeight="1">
      <c r="A118" s="6"/>
      <c r="B118" s="6"/>
      <c r="C118" s="6"/>
      <c r="D118" s="6"/>
      <c r="E118" s="6" t="s">
        <v>98</v>
      </c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spans="1:31" ht="12.75" customHeight="1">
      <c r="A119" s="6"/>
      <c r="B119" s="6"/>
      <c r="C119" s="6"/>
      <c r="D119" s="6" t="s">
        <v>105</v>
      </c>
      <c r="E119" s="6" t="s">
        <v>104</v>
      </c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spans="1:31" ht="12.75" customHeight="1">
      <c r="A120" s="6"/>
      <c r="B120" s="6"/>
      <c r="C120" s="6"/>
      <c r="D120" s="6"/>
      <c r="E120" s="6" t="s">
        <v>114</v>
      </c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spans="1:31" ht="12.75" customHeight="1">
      <c r="A121" s="6"/>
      <c r="B121" s="6"/>
      <c r="C121" s="6"/>
      <c r="D121" s="6"/>
      <c r="E121" s="6" t="s">
        <v>109</v>
      </c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spans="1:31" ht="12.75" customHeight="1">
      <c r="A122" s="6"/>
      <c r="B122" s="6"/>
      <c r="C122" s="6"/>
      <c r="D122" s="6"/>
      <c r="E122" s="6" t="s">
        <v>115</v>
      </c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spans="1:31" ht="12.75" customHeight="1">
      <c r="A123" s="6"/>
      <c r="B123" s="6"/>
      <c r="C123" s="6"/>
      <c r="D123" s="6"/>
      <c r="E123" s="6" t="s">
        <v>110</v>
      </c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spans="1:31" ht="12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spans="1:31" ht="12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spans="1:31" ht="12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spans="1:31" ht="12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spans="1:31" ht="12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spans="1:31" ht="12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spans="1:31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spans="1:31" ht="12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spans="1:31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spans="1:31" ht="12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spans="1:31" ht="12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spans="1:31" ht="12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spans="1:31" ht="12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spans="1:31" ht="12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spans="1:31" ht="12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spans="1:31" ht="12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spans="1:31" ht="12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spans="1:31" ht="12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spans="1:31" ht="12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spans="1:31" ht="12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spans="1:31" ht="12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spans="1:31" ht="12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spans="1:31" ht="12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spans="1:31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spans="1:31" ht="12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spans="1:31" ht="12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spans="1:31" ht="12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spans="1:31" ht="12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spans="1:31" ht="12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spans="1:31" ht="12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spans="1:31" ht="12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spans="1:31" ht="12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spans="1:31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spans="1:31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spans="1:31" ht="12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spans="1:31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spans="1:31" ht="12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spans="1:31" ht="12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spans="1:31" ht="12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spans="1:31" ht="12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spans="1:31" ht="12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spans="1:31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spans="1:31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spans="1:31" ht="12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spans="1:31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spans="1:31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spans="1:31" ht="12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spans="1:31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spans="1:31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spans="1:11" ht="12.75" customHeight="1">
      <c r="A216" s="4"/>
      <c r="B216" s="5"/>
      <c r="C216" s="4"/>
      <c r="D216" s="4"/>
      <c r="E216" s="4"/>
      <c r="F216" s="4"/>
      <c r="G216" s="4"/>
      <c r="H216" s="4"/>
      <c r="I216" s="4"/>
      <c r="J216" s="4"/>
      <c r="K216" s="4"/>
    </row>
    <row r="217" ht="12.75" customHeight="1">
      <c r="A217" s="4"/>
    </row>
    <row r="218" ht="12.75" customHeight="1">
      <c r="A218" s="4"/>
    </row>
    <row r="219" ht="12.75" customHeight="1">
      <c r="A219" s="4"/>
    </row>
    <row r="220" ht="12.75" customHeight="1">
      <c r="A220" s="4"/>
    </row>
    <row r="221" ht="12.75" customHeight="1">
      <c r="A221" s="4"/>
    </row>
    <row r="222" ht="12.75" customHeight="1">
      <c r="A222" s="4"/>
    </row>
    <row r="223" ht="12.75" customHeight="1">
      <c r="A223" s="4"/>
    </row>
    <row r="224" ht="12.75" customHeight="1">
      <c r="A224" s="4"/>
    </row>
    <row r="225" ht="12.75" customHeight="1">
      <c r="A225" s="4"/>
    </row>
    <row r="226" ht="12.75" customHeight="1">
      <c r="A226" s="4"/>
    </row>
    <row r="227" ht="12.75" customHeight="1">
      <c r="A227" s="4"/>
    </row>
    <row r="228" ht="12.75" customHeight="1">
      <c r="A228" s="4"/>
    </row>
    <row r="229" ht="12.75" customHeight="1">
      <c r="A229" s="4"/>
    </row>
    <row r="230" ht="12.75" customHeight="1">
      <c r="A230" s="4"/>
    </row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</sheetData>
  <sheetProtection sheet="1" objects="1" scenarios="1"/>
  <conditionalFormatting sqref="E29 O29">
    <cfRule type="cellIs" priority="1" dxfId="0" operator="greaterThan" stopIfTrue="1">
      <formula>59.99</formula>
    </cfRule>
  </conditionalFormatting>
  <printOptions/>
  <pageMargins left="0.25" right="0.63" top="1.78" bottom="1" header="0.5" footer="0.5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Pulse Employee</cp:lastModifiedBy>
  <cp:lastPrinted>2005-03-07T21:53:45Z</cp:lastPrinted>
  <dcterms:created xsi:type="dcterms:W3CDTF">1998-11-20T19:15:22Z</dcterms:created>
  <dcterms:modified xsi:type="dcterms:W3CDTF">2005-03-11T18:05:58Z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-739706162</vt:i4>
  </property>
  <property fmtid="{D5CDD505-2E9C-101B-9397-08002B2CF9AE}" pid="3" name="_EmailSubject">
    <vt:lpwstr>Core Update</vt:lpwstr>
  </property>
  <property fmtid="{D5CDD505-2E9C-101B-9397-08002B2CF9AE}" pid="4" name="_AuthorEmail">
    <vt:lpwstr>HANKHINRICHS@pulseeng.com</vt:lpwstr>
  </property>
  <property fmtid="{D5CDD505-2E9C-101B-9397-08002B2CF9AE}" pid="5" name="_AuthorEmailDisplayName">
    <vt:lpwstr>Hinrichs, Hank</vt:lpwstr>
  </property>
  <property fmtid="{D5CDD505-2E9C-101B-9397-08002B2CF9AE}" pid="6" name="_PreviousAdHocReviewCycleID">
    <vt:i4>-739706162</vt:i4>
  </property>
</Properties>
</file>