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Sheet1" sheetId="1" r:id="rId1"/>
    <sheet name="Sheet2" sheetId="2" r:id="rId2"/>
    <sheet name="Sheet3" sheetId="3" r:id="rId3"/>
  </sheets>
  <definedNames>
    <definedName name="Cancel_rate">'Sheet1'!$E$10</definedName>
    <definedName name="G_attendance">'Sheet1'!$G$13</definedName>
    <definedName name="Geneva_attendance">'Sheet1'!$G$13</definedName>
    <definedName name="_xlnm.Print_Area" localSheetId="0">'Sheet1'!$A$1:$K$64</definedName>
    <definedName name="S_attendance">'Sheet1'!$F$13</definedName>
    <definedName name="Sing_exchange">'Sheet1'!$F$11</definedName>
    <definedName name="Swiss_exchange">'Sheet1'!$G$11</definedName>
    <definedName name="US_attendance">'Sheet1'!$E$13</definedName>
  </definedNames>
  <calcPr fullCalcOnLoad="1"/>
</workbook>
</file>

<file path=xl/sharedStrings.xml><?xml version="1.0" encoding="utf-8"?>
<sst xmlns="http://schemas.openxmlformats.org/spreadsheetml/2006/main" count="91" uniqueCount="72">
  <si>
    <t>IEEE Project 802</t>
  </si>
  <si>
    <t>Estimated Statement of Operations</t>
  </si>
  <si>
    <t>Meeting Income</t>
  </si>
  <si>
    <t>Registrations</t>
  </si>
  <si>
    <t>Registration income</t>
  </si>
  <si>
    <t>Cancellation refunds</t>
  </si>
  <si>
    <t>TOTAL Meeting Income</t>
  </si>
  <si>
    <t>Meeting Expenses</t>
  </si>
  <si>
    <t>Audio Visual Rentals</t>
  </si>
  <si>
    <t>Copying</t>
  </si>
  <si>
    <t>Credit Card Discount</t>
  </si>
  <si>
    <t>Get IEEE 802 Contribution</t>
  </si>
  <si>
    <t>Meeting Administration</t>
  </si>
  <si>
    <t>Misc Expenses</t>
  </si>
  <si>
    <t>Network</t>
  </si>
  <si>
    <t>Phone &amp; Electrical</t>
  </si>
  <si>
    <t>Shipping</t>
  </si>
  <si>
    <t>Social</t>
  </si>
  <si>
    <t>Supplies</t>
  </si>
  <si>
    <t>TOTAL Meeting Expense</t>
  </si>
  <si>
    <t>NET Meeting Income/Expense</t>
  </si>
  <si>
    <t>Meeting Room Rental</t>
  </si>
  <si>
    <t>Singapore</t>
  </si>
  <si>
    <t>Geneva</t>
  </si>
  <si>
    <t>Lunches</t>
  </si>
  <si>
    <t>Breakfast</t>
  </si>
  <si>
    <t>xchange rate</t>
  </si>
  <si>
    <t>cancel rate</t>
  </si>
  <si>
    <t>below</t>
  </si>
  <si>
    <t>nNA Venue Comparison</t>
  </si>
  <si>
    <t>Singapore (3 star properties)</t>
  </si>
  <si>
    <t>Singapore (4 star properties)</t>
  </si>
  <si>
    <t>Geneva (Eden)</t>
  </si>
  <si>
    <t>Geneva (Auteuil, std, incl intenet)</t>
  </si>
  <si>
    <t>Geneva (Intercontinental)</t>
  </si>
  <si>
    <t>Geneva (Crowne Plaza)</t>
  </si>
  <si>
    <t>Geneva (Intercontinental, deluxe)</t>
  </si>
  <si>
    <t>Geneva (de la Paix)</t>
  </si>
  <si>
    <t>Geneva (Les Nations)</t>
  </si>
  <si>
    <t>Geneva (Hotel NH Airport)</t>
  </si>
  <si>
    <t>Geneva (Ramada park)</t>
  </si>
  <si>
    <t>Geneva (Hotel Warwick)</t>
  </si>
  <si>
    <t>Geneva (Mon Repos)</t>
  </si>
  <si>
    <t>Geneva (NH Rex)</t>
  </si>
  <si>
    <t>Pre-reg</t>
  </si>
  <si>
    <t>web/onsite reg</t>
  </si>
  <si>
    <t>Geneva (Kipling,Jade,Eidleweis std room, incl internet)</t>
  </si>
  <si>
    <t>1 to 1.5</t>
  </si>
  <si>
    <t>rate</t>
  </si>
  <si>
    <t># rooms</t>
  </si>
  <si>
    <t>Geneva (Royal, Epsom, std room, incl internet  )</t>
  </si>
  <si>
    <t>stars</t>
  </si>
  <si>
    <t>Geneva (Royal, Epsom, suite, incl internet  )</t>
  </si>
  <si>
    <t>* * *</t>
  </si>
  <si>
    <t>* * * *</t>
  </si>
  <si>
    <t>* * * * *</t>
  </si>
  <si>
    <t xml:space="preserve">* * * * </t>
  </si>
  <si>
    <t>on site</t>
  </si>
  <si>
    <t>distance(km)</t>
  </si>
  <si>
    <t>Singapore Marina Bay Sands (incl internet)</t>
  </si>
  <si>
    <t>Hotel options</t>
  </si>
  <si>
    <t>pre-reg rate</t>
  </si>
  <si>
    <t>reg rate</t>
  </si>
  <si>
    <t>Refreshment breaks</t>
  </si>
  <si>
    <t>Other income (hotel comps &amp; commissions)</t>
  </si>
  <si>
    <t>avg room rate</t>
  </si>
  <si>
    <t>Singapore Package (a/v, breaks, breakfast, lunch)</t>
  </si>
  <si>
    <t>Sponsor subsidies</t>
  </si>
  <si>
    <t>Typical US</t>
  </si>
  <si>
    <t>As of Nov 11, 2008</t>
  </si>
  <si>
    <t>March 2011  Plenary Session</t>
  </si>
  <si>
    <t>All amounts in US 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</si>
</sst>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?_);_(@_)"/>
    <numFmt numFmtId="169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22"/>
      <name val="Arial"/>
      <family val="0"/>
    </font>
    <font>
      <sz val="9"/>
      <name val="Arial"/>
      <family val="0"/>
    </font>
    <font>
      <sz val="12"/>
      <name val="Arial"/>
      <family val="0"/>
    </font>
    <font>
      <sz val="8"/>
      <color indexed="42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0" fillId="0" borderId="0" xfId="17" applyNumberFormat="1" applyAlignment="1">
      <alignment/>
    </xf>
    <xf numFmtId="166" fontId="1" fillId="0" borderId="0" xfId="17" applyNumberFormat="1" applyFont="1" applyAlignment="1">
      <alignment/>
    </xf>
    <xf numFmtId="0" fontId="0" fillId="0" borderId="0" xfId="0" applyAlignment="1">
      <alignment horizontal="right"/>
    </xf>
    <xf numFmtId="166" fontId="0" fillId="0" borderId="0" xfId="17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9" fontId="2" fillId="0" borderId="0" xfId="19" applyFont="1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166" fontId="2" fillId="0" borderId="0" xfId="17" applyNumberFormat="1" applyFont="1" applyAlignment="1">
      <alignment/>
    </xf>
    <xf numFmtId="166" fontId="2" fillId="0" borderId="1" xfId="17" applyNumberFormat="1" applyFont="1" applyBorder="1" applyAlignment="1">
      <alignment/>
    </xf>
    <xf numFmtId="0" fontId="0" fillId="0" borderId="1" xfId="0" applyBorder="1" applyAlignment="1">
      <alignment/>
    </xf>
    <xf numFmtId="166" fontId="1" fillId="2" borderId="2" xfId="17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6" fontId="0" fillId="0" borderId="1" xfId="17" applyNumberFormat="1" applyBorder="1" applyAlignment="1">
      <alignment/>
    </xf>
    <xf numFmtId="166" fontId="0" fillId="0" borderId="0" xfId="17" applyNumberFormat="1" applyFont="1" applyAlignment="1">
      <alignment horizontal="right"/>
    </xf>
    <xf numFmtId="164" fontId="0" fillId="0" borderId="0" xfId="15" applyNumberFormat="1" applyAlignment="1">
      <alignment/>
    </xf>
    <xf numFmtId="38" fontId="3" fillId="0" borderId="0" xfId="0" applyNumberFormat="1" applyFont="1" applyAlignment="1">
      <alignment/>
    </xf>
    <xf numFmtId="166" fontId="7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140625" style="0" customWidth="1"/>
    <col min="4" max="4" width="21.140625" style="0" customWidth="1"/>
    <col min="5" max="5" width="11.421875" style="0" customWidth="1"/>
    <col min="6" max="6" width="12.28125" style="0" bestFit="1" customWidth="1"/>
    <col min="7" max="7" width="12.00390625" style="0" customWidth="1"/>
    <col min="9" max="9" width="9.28125" style="0" bestFit="1" customWidth="1"/>
    <col min="11" max="11" width="3.00390625" style="0" customWidth="1"/>
  </cols>
  <sheetData>
    <row r="2" spans="1:7" ht="12.75">
      <c r="A2" s="34" t="s">
        <v>0</v>
      </c>
      <c r="B2" s="34"/>
      <c r="C2" s="34"/>
      <c r="D2" s="34"/>
      <c r="E2" s="34"/>
      <c r="F2" s="34"/>
      <c r="G2" s="34"/>
    </row>
    <row r="3" spans="1:7" ht="12.75">
      <c r="A3" s="34" t="s">
        <v>1</v>
      </c>
      <c r="B3" s="34"/>
      <c r="C3" s="34"/>
      <c r="D3" s="34"/>
      <c r="E3" s="34"/>
      <c r="F3" s="34"/>
      <c r="G3" s="34"/>
    </row>
    <row r="4" spans="1:7" ht="12.75">
      <c r="A4" s="34" t="s">
        <v>70</v>
      </c>
      <c r="B4" s="34"/>
      <c r="C4" s="34"/>
      <c r="D4" s="34"/>
      <c r="E4" s="34"/>
      <c r="F4" s="34"/>
      <c r="G4" s="34"/>
    </row>
    <row r="5" spans="1:7" ht="12.75">
      <c r="A5" s="34" t="s">
        <v>29</v>
      </c>
      <c r="B5" s="34"/>
      <c r="C5" s="34"/>
      <c r="D5" s="34"/>
      <c r="E5" s="34"/>
      <c r="F5" s="34"/>
      <c r="G5" s="34"/>
    </row>
    <row r="6" spans="1:7" ht="12.75">
      <c r="A6" s="34" t="s">
        <v>69</v>
      </c>
      <c r="B6" s="34"/>
      <c r="C6" s="34"/>
      <c r="D6" s="34"/>
      <c r="E6" s="34"/>
      <c r="F6" s="34"/>
      <c r="G6" s="34"/>
    </row>
    <row r="7" spans="1:7" ht="17.25" customHeight="1">
      <c r="A7" s="2"/>
      <c r="B7" s="2"/>
      <c r="C7" s="2"/>
      <c r="D7" s="2"/>
      <c r="E7" s="36" t="s">
        <v>71</v>
      </c>
      <c r="F7" s="36"/>
      <c r="G7" s="36"/>
    </row>
    <row r="8" spans="4:7" ht="12.75">
      <c r="D8" s="20" t="s">
        <v>61</v>
      </c>
      <c r="E8" s="33">
        <v>400</v>
      </c>
      <c r="F8" s="33">
        <v>400</v>
      </c>
      <c r="G8" s="33">
        <v>600</v>
      </c>
    </row>
    <row r="9" spans="4:7" ht="12.75">
      <c r="D9" s="20" t="s">
        <v>62</v>
      </c>
      <c r="E9" s="33">
        <v>500</v>
      </c>
      <c r="F9" s="33">
        <v>500</v>
      </c>
      <c r="G9" s="33">
        <v>800</v>
      </c>
    </row>
    <row r="10" spans="4:7" ht="12.75">
      <c r="D10" s="8" t="s">
        <v>27</v>
      </c>
      <c r="E10" s="35">
        <v>0.02</v>
      </c>
      <c r="F10" s="35"/>
      <c r="G10" s="35"/>
    </row>
    <row r="11" spans="4:7" ht="12.75">
      <c r="D11" s="20" t="s">
        <v>26</v>
      </c>
      <c r="E11" s="10">
        <v>1</v>
      </c>
      <c r="F11" s="11">
        <v>0.67</v>
      </c>
      <c r="G11" s="11">
        <v>0.8</v>
      </c>
    </row>
    <row r="12" spans="1:7" ht="17.25" customHeight="1">
      <c r="A12" s="12" t="s">
        <v>2</v>
      </c>
      <c r="E12" s="4" t="s">
        <v>68</v>
      </c>
      <c r="F12" s="2" t="s">
        <v>22</v>
      </c>
      <c r="G12" s="2" t="s">
        <v>23</v>
      </c>
    </row>
    <row r="13" spans="2:7" ht="12.75">
      <c r="B13" t="s">
        <v>3</v>
      </c>
      <c r="E13" s="31">
        <v>1200</v>
      </c>
      <c r="F13" s="31">
        <v>1200</v>
      </c>
      <c r="G13" s="31">
        <v>1200</v>
      </c>
    </row>
    <row r="14" spans="1:7" s="11" customFormat="1" ht="10.5" customHeight="1">
      <c r="A14" s="15">
        <v>0.8</v>
      </c>
      <c r="B14" s="22" t="s">
        <v>44</v>
      </c>
      <c r="E14" s="23">
        <f>A14*US_attendance*E8</f>
        <v>384000</v>
      </c>
      <c r="F14" s="23">
        <f>A14*F8*$F$13</f>
        <v>384000</v>
      </c>
      <c r="G14" s="23">
        <f>A14*G_attendance*G8</f>
        <v>576000</v>
      </c>
    </row>
    <row r="15" spans="1:7" s="11" customFormat="1" ht="10.5" customHeight="1">
      <c r="A15" s="15">
        <v>0.2</v>
      </c>
      <c r="B15" s="22" t="s">
        <v>45</v>
      </c>
      <c r="E15" s="24">
        <f>A15*US_attendance*E9</f>
        <v>120000</v>
      </c>
      <c r="F15" s="24">
        <f>A15*F9*$F$13</f>
        <v>120000</v>
      </c>
      <c r="G15" s="24">
        <f>A15*G_attendance*G9</f>
        <v>192000</v>
      </c>
    </row>
    <row r="16" spans="2:7" ht="12.75">
      <c r="B16" t="s">
        <v>4</v>
      </c>
      <c r="E16" s="6">
        <f>SUM(E14:E15)</f>
        <v>504000</v>
      </c>
      <c r="F16" s="6">
        <f>SUM(F14:F15)</f>
        <v>504000</v>
      </c>
      <c r="G16" s="6">
        <f>SUM(G14:G15)</f>
        <v>768000</v>
      </c>
    </row>
    <row r="17" spans="2:7" ht="12.75">
      <c r="B17" t="s">
        <v>5</v>
      </c>
      <c r="E17" s="6">
        <f>-E16*Cancel_rate</f>
        <v>-10080</v>
      </c>
      <c r="F17" s="6">
        <f>-F16*Cancel_rate</f>
        <v>-10080</v>
      </c>
      <c r="G17" s="6">
        <f>-G16*Cancel_rate</f>
        <v>-15360</v>
      </c>
    </row>
    <row r="18" spans="2:7" ht="12.75">
      <c r="B18" s="12" t="s">
        <v>67</v>
      </c>
      <c r="E18" s="6">
        <v>0</v>
      </c>
      <c r="F18" s="6">
        <f>218000*Sing_exchange</f>
        <v>146060</v>
      </c>
      <c r="G18" s="6">
        <v>0</v>
      </c>
    </row>
    <row r="19" spans="2:7" ht="12.75">
      <c r="B19" t="s">
        <v>64</v>
      </c>
      <c r="E19" s="29">
        <v>80000</v>
      </c>
      <c r="F19" s="29">
        <f>375*0.1*Sing_exchange*4.9*850+(375*Sing_exchange*14)</f>
        <v>108163.12500000001</v>
      </c>
      <c r="G19" s="29">
        <v>0</v>
      </c>
    </row>
    <row r="20" spans="1:7" ht="20.25" customHeight="1">
      <c r="A20" s="12" t="s">
        <v>6</v>
      </c>
      <c r="E20" s="7">
        <f>SUM(E16:E19)</f>
        <v>573920</v>
      </c>
      <c r="F20" s="7">
        <f>SUM(F16:F19)</f>
        <v>748143.125</v>
      </c>
      <c r="G20" s="7">
        <f>SUM(G16:G19)</f>
        <v>752640</v>
      </c>
    </row>
    <row r="21" spans="5:7" ht="12.75">
      <c r="E21" s="6"/>
      <c r="F21" s="6"/>
      <c r="G21" s="6"/>
    </row>
    <row r="22" spans="1:7" ht="12.75">
      <c r="A22" s="12" t="s">
        <v>7</v>
      </c>
      <c r="E22" s="6"/>
      <c r="F22" s="6"/>
      <c r="G22" s="6"/>
    </row>
    <row r="23" spans="2:7" ht="12.75">
      <c r="B23" t="s">
        <v>8</v>
      </c>
      <c r="E23" s="6">
        <v>25000</v>
      </c>
      <c r="F23" s="30" t="s">
        <v>28</v>
      </c>
      <c r="G23" s="6">
        <f>25000*Swiss_exchange</f>
        <v>20000</v>
      </c>
    </row>
    <row r="24" spans="2:7" ht="12.75">
      <c r="B24" t="s">
        <v>9</v>
      </c>
      <c r="E24" s="6">
        <v>3500</v>
      </c>
      <c r="F24" s="6">
        <v>4500</v>
      </c>
      <c r="G24" s="6">
        <f>((20000*0.1)+(625*2*6))*Swiss_exchange</f>
        <v>7600</v>
      </c>
    </row>
    <row r="25" spans="2:7" ht="12.75">
      <c r="B25" t="s">
        <v>10</v>
      </c>
      <c r="E25" s="6">
        <f>0.028*E16</f>
        <v>14112</v>
      </c>
      <c r="F25" s="6">
        <f>0.028*F16</f>
        <v>14112</v>
      </c>
      <c r="G25" s="6">
        <f>0.028*G16</f>
        <v>21504</v>
      </c>
    </row>
    <row r="26" spans="2:7" ht="12.75">
      <c r="B26" t="s">
        <v>11</v>
      </c>
      <c r="E26" s="6">
        <f>75*US_attendance</f>
        <v>90000</v>
      </c>
      <c r="F26" s="6">
        <f>75*S_attendance</f>
        <v>90000</v>
      </c>
      <c r="G26" s="6">
        <f>75*G_attendance</f>
        <v>90000</v>
      </c>
    </row>
    <row r="27" spans="2:7" ht="12.75">
      <c r="B27" t="s">
        <v>12</v>
      </c>
      <c r="E27" s="6">
        <f>(15500+US_attendance*(1.01*55)+US_attendance*($E$10*30))+8000</f>
        <v>90880</v>
      </c>
      <c r="F27" s="6">
        <f>1.25*(15500+S_attendance*(1.01*55)+S_attendance*($E$10*30))+12000</f>
        <v>115600</v>
      </c>
      <c r="G27" s="6">
        <f>1.25*(15500+G_attendance*(1.01*55)+G_attendance*($E$10*30))+12000+10000+((6+5)*8*300)</f>
        <v>152000</v>
      </c>
    </row>
    <row r="28" spans="2:7" ht="12.75">
      <c r="B28" t="s">
        <v>21</v>
      </c>
      <c r="E28" s="6">
        <v>0</v>
      </c>
      <c r="F28" s="6">
        <v>0</v>
      </c>
      <c r="G28" s="6">
        <f>((4*1000)+(6250*5)+2500)*Swiss_exchange</f>
        <v>30200</v>
      </c>
    </row>
    <row r="29" spans="2:9" ht="12.75">
      <c r="B29" t="s">
        <v>13</v>
      </c>
      <c r="E29" s="6">
        <v>3500</v>
      </c>
      <c r="F29" s="6">
        <v>3500</v>
      </c>
      <c r="G29" s="6">
        <v>5000</v>
      </c>
      <c r="I29" s="21"/>
    </row>
    <row r="30" spans="2:7" ht="12.75">
      <c r="B30" t="s">
        <v>14</v>
      </c>
      <c r="E30" s="6">
        <v>70000</v>
      </c>
      <c r="F30" s="6">
        <f>60000+7500</f>
        <v>67500</v>
      </c>
      <c r="G30" s="6">
        <f>(1500*Swiss_exchange*6)+60000</f>
        <v>67200</v>
      </c>
    </row>
    <row r="31" spans="2:7" ht="12.75">
      <c r="B31" t="s">
        <v>15</v>
      </c>
      <c r="E31" s="6">
        <v>2000</v>
      </c>
      <c r="F31" s="6">
        <v>2500</v>
      </c>
      <c r="G31" s="6">
        <f>6250*Swiss_exchange</f>
        <v>5000</v>
      </c>
    </row>
    <row r="32" spans="2:7" ht="12.75">
      <c r="B32" s="5" t="s">
        <v>63</v>
      </c>
      <c r="E32" s="6">
        <v>150000</v>
      </c>
      <c r="F32" s="30" t="s">
        <v>28</v>
      </c>
      <c r="G32" s="6">
        <f>12.5*Swiss_exchange*2*$G$13*4.5</f>
        <v>108000</v>
      </c>
    </row>
    <row r="33" spans="2:7" ht="12.75">
      <c r="B33" s="5" t="s">
        <v>25</v>
      </c>
      <c r="E33" s="6"/>
      <c r="F33" s="30" t="s">
        <v>28</v>
      </c>
      <c r="G33" s="6">
        <f>22.5*Swiss_exchange*$G$13*5</f>
        <v>108000</v>
      </c>
    </row>
    <row r="34" spans="2:7" ht="12.75">
      <c r="B34" s="5" t="s">
        <v>24</v>
      </c>
      <c r="E34" s="6"/>
      <c r="F34" s="30" t="s">
        <v>28</v>
      </c>
      <c r="G34" s="6">
        <f>32.5*Swiss_exchange*$G$13*4</f>
        <v>124800</v>
      </c>
    </row>
    <row r="35" spans="2:7" ht="12.75">
      <c r="B35" t="s">
        <v>16</v>
      </c>
      <c r="E35" s="6">
        <v>15000</v>
      </c>
      <c r="F35" s="6">
        <v>25000</v>
      </c>
      <c r="G35" s="6">
        <v>25000</v>
      </c>
    </row>
    <row r="36" spans="2:7" ht="12.75">
      <c r="B36" t="s">
        <v>17</v>
      </c>
      <c r="E36" s="6">
        <v>50000</v>
      </c>
      <c r="F36" s="9">
        <f>80000*Sing_exchange</f>
        <v>53600</v>
      </c>
      <c r="G36" s="6">
        <f>78*Swiss_exchange*$G$11*$G$13</f>
        <v>59904.00000000001</v>
      </c>
    </row>
    <row r="37" spans="2:7" ht="12.75">
      <c r="B37" t="s">
        <v>18</v>
      </c>
      <c r="E37" s="6">
        <v>800</v>
      </c>
      <c r="F37" s="6">
        <v>1500</v>
      </c>
      <c r="G37" s="6">
        <v>1500</v>
      </c>
    </row>
    <row r="38" spans="2:7" ht="12.75">
      <c r="B38" t="s">
        <v>66</v>
      </c>
      <c r="E38" s="29">
        <v>0</v>
      </c>
      <c r="F38" s="29">
        <f>(102.5*(0.9*S_attendance)*4.5)*Sing_exchange</f>
        <v>333760.5</v>
      </c>
      <c r="G38" s="29">
        <v>0</v>
      </c>
    </row>
    <row r="39" spans="1:7" ht="21.75" customHeight="1">
      <c r="A39" s="12" t="s">
        <v>19</v>
      </c>
      <c r="B39" s="1"/>
      <c r="E39" s="7">
        <f>SUM(E23:E38)</f>
        <v>514792</v>
      </c>
      <c r="F39" s="7">
        <f>SUM(F23:F38)</f>
        <v>711572.5</v>
      </c>
      <c r="G39" s="7">
        <f>SUM(G23:G38)</f>
        <v>825708</v>
      </c>
    </row>
    <row r="40" spans="2:7" ht="12.75">
      <c r="B40" s="1"/>
      <c r="E40" s="32">
        <f>E39/US_attendance</f>
        <v>428.99333333333334</v>
      </c>
      <c r="F40" s="32">
        <f>F39/S_attendance</f>
        <v>592.9770833333333</v>
      </c>
      <c r="G40" s="32">
        <f>G39/G_attendance</f>
        <v>688.09</v>
      </c>
    </row>
    <row r="41" spans="1:7" ht="12.75">
      <c r="A41" s="12" t="s">
        <v>20</v>
      </c>
      <c r="B41" s="13"/>
      <c r="C41" s="12"/>
      <c r="D41" s="12"/>
      <c r="E41" s="14">
        <f>E20-E39</f>
        <v>59128</v>
      </c>
      <c r="F41" s="14">
        <f>F20-F39</f>
        <v>36570.625</v>
      </c>
      <c r="G41" s="14">
        <f>G20-G39</f>
        <v>-73068</v>
      </c>
    </row>
    <row r="42" spans="2:5" ht="28.5" customHeight="1">
      <c r="B42" s="1"/>
      <c r="E42" s="1"/>
    </row>
    <row r="43" spans="1:8" ht="12.75">
      <c r="A43" s="12" t="s">
        <v>60</v>
      </c>
      <c r="E43" s="13" t="s">
        <v>51</v>
      </c>
      <c r="F43" s="12" t="s">
        <v>58</v>
      </c>
      <c r="G43" s="12" t="s">
        <v>48</v>
      </c>
      <c r="H43" s="12" t="s">
        <v>49</v>
      </c>
    </row>
    <row r="44" spans="1:9" ht="25.5" customHeight="1">
      <c r="A44" t="s">
        <v>30</v>
      </c>
      <c r="E44" s="3" t="s">
        <v>53</v>
      </c>
      <c r="F44" s="8">
        <v>0.5</v>
      </c>
      <c r="G44" s="6">
        <f>220*Sing_exchange</f>
        <v>147.4</v>
      </c>
      <c r="H44">
        <v>150</v>
      </c>
      <c r="I44" s="19">
        <f>G44*H44</f>
        <v>22110</v>
      </c>
    </row>
    <row r="45" spans="1:9" ht="12.75">
      <c r="A45" t="s">
        <v>31</v>
      </c>
      <c r="E45" s="3" t="s">
        <v>56</v>
      </c>
      <c r="F45" s="8">
        <v>0.5</v>
      </c>
      <c r="G45" s="6">
        <f>290*Sing_exchange</f>
        <v>194.3</v>
      </c>
      <c r="H45">
        <v>150</v>
      </c>
      <c r="I45" s="19">
        <f>G45*H45</f>
        <v>29145</v>
      </c>
    </row>
    <row r="46" spans="1:9" ht="13.5" thickBot="1">
      <c r="A46" t="s">
        <v>59</v>
      </c>
      <c r="E46" s="3" t="s">
        <v>55</v>
      </c>
      <c r="F46" s="8" t="s">
        <v>57</v>
      </c>
      <c r="G46" s="6">
        <f>375*Sing_exchange</f>
        <v>251.25000000000003</v>
      </c>
      <c r="H46">
        <v>1000</v>
      </c>
      <c r="I46" s="19">
        <f>G46*H46</f>
        <v>251250.00000000003</v>
      </c>
    </row>
    <row r="47" spans="5:11" ht="19.5" customHeight="1" thickBot="1">
      <c r="E47" s="1"/>
      <c r="H47" s="12">
        <f>SUM(H44:H46)</f>
        <v>1300</v>
      </c>
      <c r="I47" s="26">
        <f>SUM(I44:I46)/H47</f>
        <v>232.69615384615383</v>
      </c>
      <c r="J47" s="27" t="s">
        <v>65</v>
      </c>
      <c r="K47" s="28"/>
    </row>
    <row r="48" ht="19.5" customHeight="1">
      <c r="E48" s="1"/>
    </row>
    <row r="49" spans="1:9" ht="12.75" customHeight="1">
      <c r="A49" t="s">
        <v>32</v>
      </c>
      <c r="E49" s="16" t="s">
        <v>53</v>
      </c>
      <c r="F49">
        <v>0.8</v>
      </c>
      <c r="G49" s="6">
        <f>205*Swiss_exchange</f>
        <v>164</v>
      </c>
      <c r="H49">
        <v>10</v>
      </c>
      <c r="I49" s="19">
        <f>G49*H49</f>
        <v>1640</v>
      </c>
    </row>
    <row r="50" spans="1:9" ht="12.75" customHeight="1">
      <c r="A50" t="s">
        <v>42</v>
      </c>
      <c r="E50" s="16" t="s">
        <v>53</v>
      </c>
      <c r="F50">
        <v>1.8</v>
      </c>
      <c r="G50" s="6">
        <f>235*Swiss_exchange</f>
        <v>188</v>
      </c>
      <c r="H50">
        <v>20</v>
      </c>
      <c r="I50" s="19">
        <f aca="true" t="shared" si="0" ref="I50:I63">G50*H50</f>
        <v>3760</v>
      </c>
    </row>
    <row r="51" spans="1:9" ht="12.75" customHeight="1">
      <c r="A51" t="s">
        <v>40</v>
      </c>
      <c r="E51" s="16" t="s">
        <v>54</v>
      </c>
      <c r="F51">
        <v>3</v>
      </c>
      <c r="G51" s="6">
        <f>240*Swiss_exchange</f>
        <v>192</v>
      </c>
      <c r="H51">
        <v>100</v>
      </c>
      <c r="I51" s="19">
        <f t="shared" si="0"/>
        <v>19200</v>
      </c>
    </row>
    <row r="52" spans="1:9" ht="12.75" customHeight="1">
      <c r="A52" t="s">
        <v>46</v>
      </c>
      <c r="E52" s="16" t="s">
        <v>53</v>
      </c>
      <c r="F52" s="8" t="s">
        <v>47</v>
      </c>
      <c r="G52" s="6">
        <f>250*Swiss_exchange</f>
        <v>200</v>
      </c>
      <c r="H52">
        <v>40</v>
      </c>
      <c r="I52" s="19">
        <f t="shared" si="0"/>
        <v>8000</v>
      </c>
    </row>
    <row r="53" spans="1:9" ht="12.75" customHeight="1">
      <c r="A53" t="s">
        <v>33</v>
      </c>
      <c r="E53" s="16" t="s">
        <v>54</v>
      </c>
      <c r="F53">
        <v>1.5</v>
      </c>
      <c r="G53" s="6">
        <f>270*Swiss_exchange</f>
        <v>216</v>
      </c>
      <c r="H53">
        <v>25</v>
      </c>
      <c r="I53" s="19">
        <f t="shared" si="0"/>
        <v>5400</v>
      </c>
    </row>
    <row r="54" spans="1:9" ht="12.75" customHeight="1">
      <c r="A54" t="s">
        <v>41</v>
      </c>
      <c r="E54" s="16" t="s">
        <v>54</v>
      </c>
      <c r="F54">
        <v>1.8</v>
      </c>
      <c r="G54" s="6">
        <f>280*Swiss_exchange</f>
        <v>224</v>
      </c>
      <c r="H54">
        <v>60</v>
      </c>
      <c r="I54" s="19">
        <f t="shared" si="0"/>
        <v>13440</v>
      </c>
    </row>
    <row r="55" spans="1:9" ht="12.75" customHeight="1">
      <c r="A55" t="s">
        <v>50</v>
      </c>
      <c r="E55" s="16" t="s">
        <v>54</v>
      </c>
      <c r="F55" s="8" t="s">
        <v>47</v>
      </c>
      <c r="G55" s="6">
        <f>290*Swiss_exchange</f>
        <v>232</v>
      </c>
      <c r="H55">
        <v>125</v>
      </c>
      <c r="I55" s="19">
        <f t="shared" si="0"/>
        <v>29000</v>
      </c>
    </row>
    <row r="56" spans="1:9" ht="12.75" customHeight="1">
      <c r="A56" t="s">
        <v>38</v>
      </c>
      <c r="E56" s="17"/>
      <c r="F56">
        <v>1.2</v>
      </c>
      <c r="G56" s="6">
        <f>300*Swiss_exchange</f>
        <v>240</v>
      </c>
      <c r="H56">
        <v>15</v>
      </c>
      <c r="I56" s="19">
        <f t="shared" si="0"/>
        <v>3600</v>
      </c>
    </row>
    <row r="57" spans="1:9" ht="12.75" customHeight="1">
      <c r="A57" t="s">
        <v>39</v>
      </c>
      <c r="E57" s="16" t="s">
        <v>54</v>
      </c>
      <c r="F57">
        <v>6</v>
      </c>
      <c r="G57" s="6">
        <f>350*Swiss_exchange</f>
        <v>280</v>
      </c>
      <c r="H57">
        <v>30</v>
      </c>
      <c r="I57" s="19">
        <f t="shared" si="0"/>
        <v>8400</v>
      </c>
    </row>
    <row r="58" spans="1:9" ht="12.75" customHeight="1">
      <c r="A58" t="s">
        <v>43</v>
      </c>
      <c r="E58" s="18" t="s">
        <v>54</v>
      </c>
      <c r="F58">
        <v>2.5</v>
      </c>
      <c r="G58" s="6">
        <f>380*Swiss_exchange</f>
        <v>304</v>
      </c>
      <c r="H58">
        <v>25</v>
      </c>
      <c r="I58" s="19">
        <f t="shared" si="0"/>
        <v>7600</v>
      </c>
    </row>
    <row r="59" spans="1:9" ht="12.75" customHeight="1">
      <c r="A59" t="s">
        <v>52</v>
      </c>
      <c r="E59" s="16" t="s">
        <v>54</v>
      </c>
      <c r="F59" s="8" t="s">
        <v>47</v>
      </c>
      <c r="G59" s="6">
        <f>390*Swiss_exchange</f>
        <v>312</v>
      </c>
      <c r="H59">
        <v>15</v>
      </c>
      <c r="I59" s="19">
        <f t="shared" si="0"/>
        <v>4680</v>
      </c>
    </row>
    <row r="60" spans="1:9" ht="12.75" customHeight="1">
      <c r="A60" t="s">
        <v>34</v>
      </c>
      <c r="E60" s="18" t="s">
        <v>55</v>
      </c>
      <c r="F60">
        <v>0.5</v>
      </c>
      <c r="G60" s="6">
        <f>440*Swiss_exchange</f>
        <v>352</v>
      </c>
      <c r="H60">
        <v>150</v>
      </c>
      <c r="I60" s="19">
        <f t="shared" si="0"/>
        <v>52800</v>
      </c>
    </row>
    <row r="61" spans="1:9" ht="12.75" customHeight="1">
      <c r="A61" t="s">
        <v>36</v>
      </c>
      <c r="E61" s="18" t="s">
        <v>55</v>
      </c>
      <c r="F61">
        <v>0.5</v>
      </c>
      <c r="G61" s="6">
        <f>520*Swiss_exchange</f>
        <v>416</v>
      </c>
      <c r="H61">
        <v>25</v>
      </c>
      <c r="I61" s="19">
        <f t="shared" si="0"/>
        <v>10400</v>
      </c>
    </row>
    <row r="62" spans="1:9" ht="12.75" customHeight="1">
      <c r="A62" t="s">
        <v>35</v>
      </c>
      <c r="E62" s="18" t="s">
        <v>55</v>
      </c>
      <c r="F62">
        <v>3</v>
      </c>
      <c r="G62" s="6">
        <f>550*Swiss_exchange</f>
        <v>440</v>
      </c>
      <c r="H62">
        <v>80</v>
      </c>
      <c r="I62" s="19">
        <f t="shared" si="0"/>
        <v>35200</v>
      </c>
    </row>
    <row r="63" spans="1:9" ht="12.75" customHeight="1" thickBot="1">
      <c r="A63" t="s">
        <v>37</v>
      </c>
      <c r="E63" s="18" t="s">
        <v>55</v>
      </c>
      <c r="F63">
        <v>2</v>
      </c>
      <c r="G63" s="6">
        <f>850*Swiss_exchange</f>
        <v>680</v>
      </c>
      <c r="H63" s="25">
        <v>30</v>
      </c>
      <c r="I63" s="19">
        <f t="shared" si="0"/>
        <v>20400</v>
      </c>
    </row>
    <row r="64" spans="8:11" ht="21" customHeight="1" thickBot="1">
      <c r="H64" s="12">
        <f>SUM(H49:H63)</f>
        <v>750</v>
      </c>
      <c r="I64" s="26">
        <f>SUM(I49:I63)/H64</f>
        <v>298.02666666666664</v>
      </c>
      <c r="J64" s="27" t="s">
        <v>65</v>
      </c>
      <c r="K64" s="28"/>
    </row>
  </sheetData>
  <mergeCells count="7">
    <mergeCell ref="A3:G3"/>
    <mergeCell ref="A2:G2"/>
    <mergeCell ref="E10:G10"/>
    <mergeCell ref="A6:G6"/>
    <mergeCell ref="A5:G5"/>
    <mergeCell ref="A4:G4"/>
    <mergeCell ref="E7:G7"/>
  </mergeCells>
  <printOptions horizontalCentered="1"/>
  <pageMargins left="0.25" right="0.25" top="0.5" bottom="0.5" header="0.25" footer="0.2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Hawkins</dc:creator>
  <cp:keywords/>
  <dc:description/>
  <cp:lastModifiedBy>Everett O Rigsbee</cp:lastModifiedBy>
  <cp:lastPrinted>2008-11-12T12:43:45Z</cp:lastPrinted>
  <dcterms:created xsi:type="dcterms:W3CDTF">2008-10-13T19:34:38Z</dcterms:created>
  <dcterms:modified xsi:type="dcterms:W3CDTF">2008-11-12T14:22:30Z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