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1280" windowHeight="7410" firstSheet="4" activeTab="8"/>
  </bookViews>
  <sheets>
    <sheet name="Cover" sheetId="1" r:id="rId1"/>
    <sheet name="ReadMe" sheetId="2" r:id="rId2"/>
    <sheet name="FrameComp1" sheetId="3" r:id="rId3"/>
    <sheet name=".11Scenarios" sheetId="4" r:id="rId4"/>
    <sheet name="KinneyMAC" sheetId="5" r:id="rId5"/>
    <sheet name="HeberlingMAC" sheetId="6" r:id="rId6"/>
    <sheet name="DavisSkellernParksMAC" sheetId="7" r:id="rId7"/>
    <sheet name="RiosMAC" sheetId="8" r:id="rId8"/>
    <sheet name="SummaryFormulas" sheetId="9" r:id="rId9"/>
    <sheet name="Sheet2" sheetId="10" r:id="rId10"/>
  </sheets>
  <definedNames>
    <definedName name="ACK" localSheetId="3">'.11Scenarios'!$B$120</definedName>
    <definedName name="ACK" localSheetId="6">'DavisSkellernParksMAC'!$B$119</definedName>
    <definedName name="ACK" localSheetId="5">'HeberlingMAC'!$B$120</definedName>
    <definedName name="ACK" localSheetId="8">'SummaryFormulas'!$C$306</definedName>
    <definedName name="ACK_P">'DavisSkellernParksMAC'!$B$68</definedName>
    <definedName name="AckOvrHd">'.11Scenarios'!$B$103</definedName>
    <definedName name="AckOvrHd_K">'KinneyMAC'!$B$99</definedName>
    <definedName name="AckOvrHd0">'KinneyMAC'!$B$102</definedName>
    <definedName name="aDIFSTIME">#REF!</definedName>
    <definedName name="aDIFSTIME_K">'KinneyMAC'!$B$90</definedName>
    <definedName name="aDIFSTIME0">'KinneyMAC'!$B$90</definedName>
    <definedName name="aRIFSTIME">'DavisSkellernParksMAC'!$B$58</definedName>
    <definedName name="aSIFSTIME">'.11Scenarios'!$B$91</definedName>
    <definedName name="aSIFSTIME_H">'HeberlingMAC'!$B$106</definedName>
    <definedName name="aSIFSTIME_K">'KinneyMAC'!$B$88</definedName>
    <definedName name="aSIFSTIME_P">'DavisSkellernParksMAC'!$B$56</definedName>
    <definedName name="aSIFSTIME0">'KinneyMAC'!$B$88</definedName>
    <definedName name="aSlotTime">'.11Scenarios'!$B$92</definedName>
    <definedName name="aSlotTime_K">'KinneyMAC'!$B$89</definedName>
    <definedName name="aSlotTime_P">'DavisSkellernParksMAC'!$B$57</definedName>
    <definedName name="Async__Payload" localSheetId="3">'.11Scenarios'!$B$116</definedName>
    <definedName name="Async__Payload" localSheetId="6">'DavisSkellernParksMAC'!$B$115</definedName>
    <definedName name="Async__Payload" localSheetId="5">'HeberlingMAC'!$B$116</definedName>
    <definedName name="bitspersec">'.11Scenarios'!$B$89</definedName>
    <definedName name="bitspersec_K">'KinneyMAC'!$B$86</definedName>
    <definedName name="bitspersec0">'KinneyMAC'!$B$86</definedName>
    <definedName name="bitspersecH">'HeberlingMAC'!$B$104</definedName>
    <definedName name="bitspersecP">'DavisSkellernParksMAC'!$B$54</definedName>
    <definedName name="CRC_OvrHd_H">'HeberlingMAC'!$B$124</definedName>
    <definedName name="CTS0">'KinneyMAC'!$B$97</definedName>
    <definedName name="Fa">#REF!</definedName>
    <definedName name="Fa_h">'HeberlingMAC'!$C$175</definedName>
    <definedName name="Fc">#REF!</definedName>
    <definedName name="Fc_h">'HeberlingMAC'!$C$148</definedName>
    <definedName name="Fd">#REF!</definedName>
    <definedName name="Fd_h">'HeberlingMAC'!$C$149</definedName>
    <definedName name="Fe">#REF!</definedName>
    <definedName name="Fe_h">'HeberlingMAC'!$C$178</definedName>
    <definedName name="FEC_rate">'SummaryFormulas'!$B$16</definedName>
    <definedName name="Fi">#REF!</definedName>
    <definedName name="Fi_h">'HeberlingMAC'!$C$170</definedName>
    <definedName name="Isoc__Payload" localSheetId="5">'HeberlingMAC'!$B$117</definedName>
    <definedName name="MacPayLd_Time">#REF!</definedName>
    <definedName name="MacPayLd_TimeH">'HeberlingMAC'!$C$92</definedName>
    <definedName name="MacPayLd_TimeP">'DavisSkellernParksMAC'!$H$73</definedName>
    <definedName name="MacPayLdHdr">'.11Scenarios'!$B$102</definedName>
    <definedName name="MacPayLdHdr_H">'HeberlingMAC'!$B$122</definedName>
    <definedName name="MacPayLdHdr_K">'KinneyMAC'!$B$98</definedName>
    <definedName name="MacPayLdHdr0">'KinneyMAC'!$B$101</definedName>
    <definedName name="MacPayLdHdrP">'DavisSkellernParksMAC'!$B$66</definedName>
    <definedName name="MacProtocol_HdrOvrHdTime">#REF!</definedName>
    <definedName name="MacProtocol_HdrOvrHdTimeH">'HeberlingMAC'!$C$90</definedName>
    <definedName name="MacProtocol_HdrOvrHdTimeP">'DavisSkellernParksMAC'!$H$71</definedName>
    <definedName name="Mslot__Time" localSheetId="3">'.11Scenarios'!$B$113</definedName>
    <definedName name="Mslot__Time" localSheetId="6">'DavisSkellernParksMAC'!$B$112</definedName>
    <definedName name="Mslot__Time" localSheetId="5">'HeberlingMAC'!$B$113</definedName>
    <definedName name="Mslot__Time" localSheetId="8">'SummaryFormulas'!$C$299</definedName>
    <definedName name="Nat">#REF!</definedName>
    <definedName name="Nat_h">'HeberlingMAC'!$C$154</definedName>
    <definedName name="Nda">#REF!</definedName>
    <definedName name="Nda_h">'HeberlingMAC'!$C$172</definedName>
    <definedName name="Ndi">#REF!</definedName>
    <definedName name="Ndi_h">'HeberlingMAC'!$C$151</definedName>
    <definedName name="Nmc">#REF!</definedName>
    <definedName name="Nmc_h">'HeberlingMAC'!$C$136</definedName>
    <definedName name="Noi">#REF!</definedName>
    <definedName name="Noi_h">'HeberlingMAC'!$C$152</definedName>
    <definedName name="Payload">'.11Scenarios'!$B$99</definedName>
    <definedName name="Payload_K">'KinneyMAC'!$B$95</definedName>
    <definedName name="Payload_P">'DavisSkellernParksMAC'!$B$63</definedName>
    <definedName name="Payload0">'KinneyMAC'!$B$95</definedName>
    <definedName name="PktsperSlotCycle">'HeberlingMAC'!$B$118</definedName>
    <definedName name="PLCP">'.11Scenarios'!$B$96</definedName>
    <definedName name="PLCP_K">'KinneyMAC'!$B$92</definedName>
    <definedName name="PLCP_P">'DavisSkellernParksMAC'!$B$60</definedName>
    <definedName name="PLCP0">'KinneyMAC'!$B$92</definedName>
    <definedName name="Preamble">'.11Scenarios'!$B$95</definedName>
    <definedName name="Preamble___PLCP" localSheetId="3">'.11Scenarios'!$B$111</definedName>
    <definedName name="Preamble___PLCP" localSheetId="6">'DavisSkellernParksMAC'!$B$110</definedName>
    <definedName name="Preamble___PLCP" localSheetId="5">'HeberlingMAC'!$B$111</definedName>
    <definedName name="Preamble___PLCP" localSheetId="8">'SummaryFormulas'!$C$297</definedName>
    <definedName name="Preamble_K">'KinneyMAC'!$B$91</definedName>
    <definedName name="Preamble_P">'DavisSkellernParksMAC'!$B$59</definedName>
    <definedName name="Preamble0">'KinneyMAC'!$B$91</definedName>
    <definedName name="_xlnm.Print_Area" localSheetId="6">'DavisSkellernParksMAC'!$A$53:$J$79</definedName>
    <definedName name="_xlnm.Print_Area" localSheetId="2">'FrameComp1'!$A$1:$N$22</definedName>
    <definedName name="RTS0">'KinneyMAC'!$B$96</definedName>
    <definedName name="RxTx">#REF!</definedName>
    <definedName name="RxTX_K">'KinneyMAC'!$B$87</definedName>
    <definedName name="RxTx_time" localSheetId="3">'.11Scenarios'!$B$107</definedName>
    <definedName name="RxTx_time" localSheetId="6">'DavisSkellernParksMAC'!$B$106</definedName>
    <definedName name="RxTx_time" localSheetId="5">'HeberlingMAC'!$B$107</definedName>
    <definedName name="RxTx_time" localSheetId="8">'SummaryFormulas'!$C$293</definedName>
    <definedName name="Tdi">#REF!</definedName>
    <definedName name="Tdi_h">'HeberlingMAC'!$C$157</definedName>
    <definedName name="Ti">#REF!</definedName>
    <definedName name="Ti_h">'HeberlingMAC'!$C$167</definedName>
    <definedName name="TMIA">#REF!</definedName>
    <definedName name="TMIA_h">'HeberlingMAC'!$C$143</definedName>
    <definedName name="TMMA">#REF!</definedName>
    <definedName name="TMMA_h">'HeberlingMAC'!$C$141</definedName>
    <definedName name="Tp">#REF!</definedName>
    <definedName name="Tp_h">'HeberlingMAC'!$C$160</definedName>
    <definedName name="VidDat__overhead" localSheetId="5">'HeberlingMAC'!$B$123</definedName>
  </definedNames>
  <calcPr fullCalcOnLoad="1"/>
</workbook>
</file>

<file path=xl/sharedStrings.xml><?xml version="1.0" encoding="utf-8"?>
<sst xmlns="http://schemas.openxmlformats.org/spreadsheetml/2006/main" count="1769" uniqueCount="447">
  <si>
    <t>Share Wave</t>
  </si>
  <si>
    <t>Home RF</t>
  </si>
  <si>
    <t xml:space="preserve"># of bits per field </t>
  </si>
  <si>
    <t>Type 2</t>
  </si>
  <si>
    <t># of bits per field</t>
  </si>
  <si>
    <t>Type 3</t>
  </si>
  <si>
    <t>Single Slot</t>
  </si>
  <si>
    <t>Multi-Slot # of bits per field</t>
  </si>
  <si>
    <t>Preamble</t>
  </si>
  <si>
    <t>Preamble/SyncWord</t>
  </si>
  <si>
    <t>SDW-ID</t>
  </si>
  <si>
    <t>SFD</t>
  </si>
  <si>
    <t>AM_ADDR</t>
  </si>
  <si>
    <t>Length</t>
  </si>
  <si>
    <t>Flags</t>
  </si>
  <si>
    <t>Type</t>
  </si>
  <si>
    <t>CRC</t>
  </si>
  <si>
    <t>Flow</t>
  </si>
  <si>
    <t>SRC-CS-ID</t>
  </si>
  <si>
    <t>NWID</t>
  </si>
  <si>
    <t>ARQN</t>
  </si>
  <si>
    <t>Dst-CS-ID</t>
  </si>
  <si>
    <t>Payload Cntrl</t>
  </si>
  <si>
    <t>SEQN</t>
  </si>
  <si>
    <t>PP,PktTyp,E</t>
  </si>
  <si>
    <t>Dest. Addr.</t>
  </si>
  <si>
    <t>HEC</t>
  </si>
  <si>
    <t>SS-ID,StreamIndx</t>
  </si>
  <si>
    <t>Src. Addr.</t>
  </si>
  <si>
    <t>L_CH</t>
  </si>
  <si>
    <t>StreamSQN</t>
  </si>
  <si>
    <t>HeaderCRC</t>
  </si>
  <si>
    <t>SyncInfo</t>
  </si>
  <si>
    <t>RSV,PadLnth,Frag.</t>
  </si>
  <si>
    <t>Data</t>
  </si>
  <si>
    <t>MTU</t>
  </si>
  <si>
    <t>SubNetID(High)</t>
  </si>
  <si>
    <t>SubNetID(Low)</t>
  </si>
  <si>
    <t>MTU?</t>
  </si>
  <si>
    <t>Ratio of Overhead:Data</t>
  </si>
  <si>
    <t>Preamble/SFD</t>
  </si>
  <si>
    <t>FrameCntrl</t>
  </si>
  <si>
    <t>Duration/ID</t>
  </si>
  <si>
    <t>Addr_1</t>
  </si>
  <si>
    <t>Addr_2</t>
  </si>
  <si>
    <t>Addr_3</t>
  </si>
  <si>
    <t>SeqCntrl</t>
  </si>
  <si>
    <t>Addr_4</t>
  </si>
  <si>
    <t>CRC_32</t>
  </si>
  <si>
    <t>Total OverheadBits</t>
  </si>
  <si>
    <t>Signal,Service</t>
  </si>
  <si>
    <t>CRC_16</t>
  </si>
  <si>
    <t>Phy Overhead Bits</t>
  </si>
  <si>
    <t>MacOverhead Bits</t>
  </si>
  <si>
    <t>MTU in Bits</t>
  </si>
  <si>
    <t>RTS</t>
  </si>
  <si>
    <t>SIFS</t>
  </si>
  <si>
    <t>CTS</t>
  </si>
  <si>
    <t>Data_Frag_0</t>
  </si>
  <si>
    <t>ACK_0</t>
  </si>
  <si>
    <t>Data_Frag_1</t>
  </si>
  <si>
    <t>ACK_1</t>
  </si>
  <si>
    <t>Data_Frag_2</t>
  </si>
  <si>
    <t>ACK_2</t>
  </si>
  <si>
    <t>DIFS</t>
  </si>
  <si>
    <t>Data_Frag_3</t>
  </si>
  <si>
    <t>ACK_3</t>
  </si>
  <si>
    <t>Data_Frag_4</t>
  </si>
  <si>
    <t>ACK_4</t>
  </si>
  <si>
    <t>Data_Frag_5</t>
  </si>
  <si>
    <t>ACK_5</t>
  </si>
  <si>
    <t>Data_Frag_6</t>
  </si>
  <si>
    <t>ACK_6</t>
  </si>
  <si>
    <t>Data_Frag_7</t>
  </si>
  <si>
    <t>ACK_7</t>
  </si>
  <si>
    <t>Data_Frag_8</t>
  </si>
  <si>
    <t>ACK_8</t>
  </si>
  <si>
    <t>Data_Frag_9</t>
  </si>
  <si>
    <t>ACK_9</t>
  </si>
  <si>
    <t>Bits/Packet</t>
  </si>
  <si>
    <t>MAC OverHead Bits</t>
  </si>
  <si>
    <t>Total MTU Bits</t>
  </si>
  <si>
    <t>aSIFSTIME =</t>
  </si>
  <si>
    <t>aSlotTime =</t>
  </si>
  <si>
    <t xml:space="preserve">Durations in sec </t>
  </si>
  <si>
    <t>Preamble + PLCP</t>
  </si>
  <si>
    <t>Effective Throughput Rate =</t>
  </si>
  <si>
    <t>Data_0</t>
  </si>
  <si>
    <t>Data_1</t>
  </si>
  <si>
    <t>802.15.1</t>
  </si>
  <si>
    <t>Preamble Lngth in Bits =</t>
  </si>
  <si>
    <t>Payload in Bytes =</t>
  </si>
  <si>
    <t>PIFS</t>
  </si>
  <si>
    <t>Beacon</t>
  </si>
  <si>
    <t>CF_POLL</t>
  </si>
  <si>
    <t>Data_0+CF_ACK</t>
  </si>
  <si>
    <t>CF_ACK_0</t>
  </si>
  <si>
    <t>MAC Protocol &amp; Hdr Overhd in sec.</t>
  </si>
  <si>
    <t>Cumilative Duration</t>
  </si>
  <si>
    <t>Data_2</t>
  </si>
  <si>
    <t>Ack_1</t>
  </si>
  <si>
    <t>Ack_2</t>
  </si>
  <si>
    <t>Ack_0</t>
  </si>
  <si>
    <t>Protocol Efficiency</t>
  </si>
  <si>
    <t>seconds</t>
  </si>
  <si>
    <t>bits/sec</t>
  </si>
  <si>
    <t>bitspersec=</t>
  </si>
  <si>
    <t>bits</t>
  </si>
  <si>
    <t>bytes</t>
  </si>
  <si>
    <t>Effective ThroughputRate = Protocol Efficiency * bitspersec</t>
  </si>
  <si>
    <t>ACK in bits =</t>
  </si>
  <si>
    <t>PLCP Lngth in Bits =</t>
  </si>
  <si>
    <t>PHY Dependent Variable Definitions</t>
  </si>
  <si>
    <t>MAC Dependent Constants</t>
  </si>
  <si>
    <t>MAC Dependent Variable Definition</t>
  </si>
  <si>
    <t>Total MTU Bits, Time</t>
  </si>
  <si>
    <t xml:space="preserve">dot_11  Scenario III: 1- Isoch.and 2 Asynch. </t>
  </si>
  <si>
    <t>dot_11 Scenario II: 3 Asynch. Data Streams</t>
  </si>
  <si>
    <t>dot_11 Scenario I:  1 Asynch. Data Stream</t>
  </si>
  <si>
    <t>Static Model Assumptions:</t>
  </si>
  <si>
    <t>MacPayLoadHdr in bits =</t>
  </si>
  <si>
    <t xml:space="preserve">    A transmitting to B using RTS/CTS and fragmentation</t>
  </si>
  <si>
    <t xml:space="preserve">   as described in IEEE 802.11 1999 clause 9.2.5.5</t>
  </si>
  <si>
    <t xml:space="preserve">     A transmitting to B an Asynch. Stream, C transmitting to D</t>
  </si>
  <si>
    <t xml:space="preserve">    an Asynch. Stream, and D transmitting the same to D.</t>
  </si>
  <si>
    <t xml:space="preserve">    A transmitting to B an Isoch. MPEG2 video Stream(4.5Mbps)</t>
  </si>
  <si>
    <t xml:space="preserve">   Nodes C &amp; D replicating the same data exchange detailed in</t>
  </si>
  <si>
    <t xml:space="preserve">   Scenario II.</t>
  </si>
  <si>
    <t xml:space="preserve">   is calculated to have a packet interarrival time using this formula:</t>
  </si>
  <si>
    <t xml:space="preserve">  PIAT= PacketSizeInBits/video data rate</t>
  </si>
  <si>
    <t xml:space="preserve">  example PIAT = (1024 bytes * 8 bitperpkt)/ 4.5Mbps video rate</t>
  </si>
  <si>
    <t xml:space="preserve">  PIAT = 1.82msec</t>
  </si>
  <si>
    <t>2)  Consequence of Assumption 1 is no retransmissions.</t>
  </si>
  <si>
    <t>and let the spreadsheet  do the work.</t>
  </si>
  <si>
    <r>
      <t xml:space="preserve">No Formula for Scenario I .  </t>
    </r>
    <r>
      <rPr>
        <sz val="8"/>
        <rFont val="Arial"/>
        <family val="2"/>
      </rPr>
      <t xml:space="preserve">It is just easier to lay out the pattern </t>
    </r>
  </si>
  <si>
    <t xml:space="preserve">The rest is left as an exercise for those interested in doing </t>
  </si>
  <si>
    <t>Isochronous data streams during a contention free period</t>
  </si>
  <si>
    <t>managed by a PCF. (Have fun!)</t>
  </si>
  <si>
    <t xml:space="preserve">The sequence below represents the Asynchronous data exchanges between nodes C&amp;D </t>
  </si>
  <si>
    <t xml:space="preserve">occuring during the Contention Period.  </t>
  </si>
  <si>
    <t>Formula for dot11 Scenario III</t>
  </si>
  <si>
    <r>
      <t xml:space="preserve">    </t>
    </r>
    <r>
      <rPr>
        <b/>
        <sz val="10"/>
        <rFont val="Arial"/>
        <family val="2"/>
      </rPr>
      <t>Please note:</t>
    </r>
    <r>
      <rPr>
        <sz val="10"/>
        <rFont val="Arial"/>
        <family val="0"/>
      </rPr>
      <t xml:space="preserve">  </t>
    </r>
  </si>
  <si>
    <t xml:space="preserve">        Scenario II does not involve RTS/CTS or fragmentation.</t>
  </si>
  <si>
    <r>
      <t xml:space="preserve">5) </t>
    </r>
    <r>
      <rPr>
        <b/>
        <sz val="10"/>
        <rFont val="Arial"/>
        <family val="2"/>
      </rPr>
      <t>Scenario III</t>
    </r>
    <r>
      <rPr>
        <sz val="10"/>
        <rFont val="Arial"/>
        <family val="0"/>
      </rPr>
      <t xml:space="preserve"> is comprised of 4 nodes A,B,C,D with </t>
    </r>
  </si>
  <si>
    <r>
      <t xml:space="preserve">4)  </t>
    </r>
    <r>
      <rPr>
        <b/>
        <sz val="10"/>
        <rFont val="Arial"/>
        <family val="2"/>
      </rPr>
      <t xml:space="preserve">Scenario II </t>
    </r>
    <r>
      <rPr>
        <sz val="10"/>
        <rFont val="Arial"/>
        <family val="0"/>
      </rPr>
      <t>is comprised of four nodes A,B,C,D with</t>
    </r>
  </si>
  <si>
    <r>
      <t xml:space="preserve">3) </t>
    </r>
    <r>
      <rPr>
        <b/>
        <sz val="10"/>
        <rFont val="Arial"/>
        <family val="2"/>
      </rPr>
      <t xml:space="preserve">Scenario I </t>
    </r>
    <r>
      <rPr>
        <sz val="10"/>
        <rFont val="Arial"/>
        <family val="0"/>
      </rPr>
      <t>is comprised of two nodes(A&amp;B) with</t>
    </r>
  </si>
  <si>
    <r>
      <t xml:space="preserve">  Please note</t>
    </r>
    <r>
      <rPr>
        <sz val="10"/>
        <rFont val="Arial"/>
        <family val="2"/>
      </rPr>
      <t xml:space="preserve"> that the Isoch video stream as used in the other wrkshts </t>
    </r>
  </si>
  <si>
    <t>PicoLink Scenario I:  1 Asynch. Data Stream</t>
  </si>
  <si>
    <t>PicoLink Scenario II: 3 Asynch. Data Streams</t>
  </si>
  <si>
    <t>Formula for PicoLink Scenario I</t>
  </si>
  <si>
    <r>
      <t xml:space="preserve">No Formula for Scenario I .  </t>
    </r>
    <r>
      <rPr>
        <sz val="8"/>
        <rFont val="Arial"/>
        <family val="2"/>
      </rPr>
      <t>It was easier to lay out the pattern and let the</t>
    </r>
  </si>
  <si>
    <t>spreadsheet  do the work.</t>
  </si>
  <si>
    <t>RxTx=</t>
  </si>
  <si>
    <t>aDIFSTIME=</t>
  </si>
  <si>
    <t>Formula for PicoLink Scenario II</t>
  </si>
  <si>
    <t>Scenario I</t>
  </si>
  <si>
    <t>Scenario II</t>
  </si>
  <si>
    <t>Transmission</t>
  </si>
  <si>
    <t>Overhead Bits/Packet</t>
  </si>
  <si>
    <t>Duration in Seconds</t>
  </si>
  <si>
    <t>Cumulative Time in Seconds</t>
  </si>
  <si>
    <t>Durations in Seconds</t>
  </si>
  <si>
    <t>RxTx</t>
  </si>
  <si>
    <t>IsocDat_0</t>
  </si>
  <si>
    <t>Data_A-&gt;B_0</t>
  </si>
  <si>
    <t>ACK_B-&gt;A</t>
  </si>
  <si>
    <t>Data_C-&gt;D_0</t>
  </si>
  <si>
    <t>ACK_D-&gt;C</t>
  </si>
  <si>
    <t>Data_D-&gt;C_0</t>
  </si>
  <si>
    <t>ACK_C-&gt;D</t>
  </si>
  <si>
    <t>Data_A-&gt;B_1</t>
  </si>
  <si>
    <t>IsocDat_1</t>
  </si>
  <si>
    <t>Data_C-&gt;D_1</t>
  </si>
  <si>
    <t>Data_D-&gt;C_1</t>
  </si>
  <si>
    <t>Data_A-&gt;B_2</t>
  </si>
  <si>
    <t>IsocDat_2</t>
  </si>
  <si>
    <t>Data_D-&gt;C_2</t>
  </si>
  <si>
    <t>Data_C-&gt;D_2</t>
  </si>
  <si>
    <t>Data_A-&gt;B_3</t>
  </si>
  <si>
    <t>Data_C-&gt;D_3</t>
  </si>
  <si>
    <t>Total Protocol &amp; Hdr Ovrhd Time</t>
  </si>
  <si>
    <t>IsocDat_3</t>
  </si>
  <si>
    <t>Total MTU Time</t>
  </si>
  <si>
    <t xml:space="preserve">Cumulative Time </t>
  </si>
  <si>
    <t>Total MAC Overhead Bits</t>
  </si>
  <si>
    <t>Data_A-&gt;B_4</t>
  </si>
  <si>
    <t>Ratio of Overhd to Data</t>
  </si>
  <si>
    <t>Protocol Efficiency =</t>
  </si>
  <si>
    <t>bps</t>
  </si>
  <si>
    <t>Data_D-&gt;C_3</t>
  </si>
  <si>
    <t>Formula for SC-TDMA Scenarios I &amp; II</t>
  </si>
  <si>
    <t>Data_C-&gt;D_4</t>
  </si>
  <si>
    <t xml:space="preserve">MacProtocol_HdrOvrHdTime=  (Mslot_Time + RxTx_Time+ (2*(Preamble + Plcp)/bitspersec) </t>
  </si>
  <si>
    <t xml:space="preserve">MacProtocol_HdrOvrHdTime=  </t>
  </si>
  <si>
    <t>MacPayLd_Time = Asynch_payload/bitspersec =</t>
  </si>
  <si>
    <t>Data_D-&gt;C_4</t>
  </si>
  <si>
    <t>Protocol Efficiency = Ep = MacPayLd_Time/(MacPayLd_Time+MacProtocol&amp;HdrOvrHdTime)</t>
  </si>
  <si>
    <t xml:space="preserve">Ep = </t>
  </si>
  <si>
    <t>Effective ThroughputRate= Fe=  Ep * bitspersec</t>
  </si>
  <si>
    <t>Fe  =</t>
  </si>
  <si>
    <t xml:space="preserve">    Modifiable Cells are Indicated by -&gt;</t>
  </si>
  <si>
    <t>PHY Dependent Variable Defintions</t>
  </si>
  <si>
    <t xml:space="preserve">PHY Transmission Rate =   </t>
  </si>
  <si>
    <t>Ratio of Overhd to Data Bits</t>
  </si>
  <si>
    <t xml:space="preserve">SIFS =   </t>
  </si>
  <si>
    <t xml:space="preserve">RxTx =   </t>
  </si>
  <si>
    <t>Preamble Lngth in Bits=</t>
  </si>
  <si>
    <t xml:space="preserve">Total Asyn. Packets,Bytes  = </t>
  </si>
  <si>
    <t>PLCP Lngth in Bits=</t>
  </si>
  <si>
    <t xml:space="preserve">Total Isoc. Packets,Bytes  = </t>
  </si>
  <si>
    <t>Preamble + PLCP =</t>
  </si>
  <si>
    <t xml:space="preserve">Mslot_Time =  </t>
  </si>
  <si>
    <t>Sec.</t>
  </si>
  <si>
    <t>MAC Dependent Variable Defintion</t>
  </si>
  <si>
    <t xml:space="preserve">Async Payload =  </t>
  </si>
  <si>
    <t xml:space="preserve">Isoc Payload =  </t>
  </si>
  <si>
    <t xml:space="preserve">MacPayLoadHdr  =  </t>
  </si>
  <si>
    <t xml:space="preserve">Isoc. Data overhead  =  </t>
  </si>
  <si>
    <t>Definitions:  all references are to the IEEE Std. 802.11, 1999 Edition.</t>
  </si>
  <si>
    <t>SIFS or aSIFSTime is illustrated by Figure 58 on pg85.</t>
  </si>
  <si>
    <t xml:space="preserve">2)  Consequences of Assumption 1 are: </t>
  </si>
  <si>
    <t xml:space="preserve">The definition for aSIFSTime is provided n clause 9.2.10, page 85,  </t>
  </si>
  <si>
    <t xml:space="preserve"> no retransmissions .</t>
  </si>
  <si>
    <t xml:space="preserve">    clause 10.4.3.2, page 120 , and specified in  clause 15.3.3 Table 59 page 205.</t>
  </si>
  <si>
    <t>and no FEC encoding</t>
  </si>
  <si>
    <t xml:space="preserve">RxTx as used on this sheet is an alias for aRxTxTurnaroundTime as defined </t>
  </si>
  <si>
    <t xml:space="preserve">     dot11 PHY parameters for illustrative purposes.  Phy proposers </t>
  </si>
  <si>
    <t>in clause 10.4.3.2, page 120 and specified in clause 15.3.3 Table 59 page 205.</t>
  </si>
  <si>
    <t xml:space="preserve">     may plug in their appropriate parameter values</t>
  </si>
  <si>
    <r>
      <t xml:space="preserve">4) </t>
    </r>
    <r>
      <rPr>
        <b/>
        <sz val="10"/>
        <rFont val="Arial"/>
        <family val="2"/>
      </rPr>
      <t xml:space="preserve">Scenario I </t>
    </r>
    <r>
      <rPr>
        <sz val="10"/>
        <rFont val="Arial"/>
        <family val="0"/>
      </rPr>
      <t>is comprised of two nodes(A&amp;B) with</t>
    </r>
  </si>
  <si>
    <t xml:space="preserve">    A transmitting to B   continuous Asynchronous data.</t>
  </si>
  <si>
    <r>
      <t xml:space="preserve">5)  </t>
    </r>
    <r>
      <rPr>
        <b/>
        <sz val="10"/>
        <rFont val="Arial"/>
        <family val="2"/>
      </rPr>
      <t xml:space="preserve">Scenario II </t>
    </r>
    <r>
      <rPr>
        <sz val="10"/>
        <rFont val="Arial"/>
        <family val="0"/>
      </rPr>
      <t>is comprised of four nodes A,B,C,D with</t>
    </r>
  </si>
  <si>
    <t xml:space="preserve">    an Asynch. Stream, and D transmitting the same to C.</t>
  </si>
  <si>
    <r>
      <t xml:space="preserve">6) </t>
    </r>
    <r>
      <rPr>
        <b/>
        <sz val="10"/>
        <rFont val="Arial"/>
        <family val="2"/>
      </rPr>
      <t>Scenario III</t>
    </r>
    <r>
      <rPr>
        <sz val="10"/>
        <rFont val="Arial"/>
        <family val="0"/>
      </rPr>
      <t xml:space="preserve"> is comprised of 4 nodes A,B,C,D with </t>
    </r>
  </si>
  <si>
    <t>RIFS</t>
  </si>
  <si>
    <t>DELAYED_ACK_0</t>
  </si>
  <si>
    <t>DELAYED_ACK_1</t>
  </si>
  <si>
    <t>DELAYED_ACK</t>
  </si>
  <si>
    <t>aRIFSTIME =</t>
  </si>
  <si>
    <t>DELAYED_ACK_2</t>
  </si>
  <si>
    <t>ACK_DELAYED in bits =</t>
  </si>
  <si>
    <t xml:space="preserve">Protocol Efficiency is the same as is the case for Scenario II - this MAC does not </t>
  </si>
  <si>
    <t xml:space="preserve">really distinguish between ASYNC and ISOCH data streams except </t>
  </si>
  <si>
    <t>by the ordering of transmission and by preferencing ISOCH over ASYNC when</t>
  </si>
  <si>
    <t xml:space="preserve"> there is insufficient bandwidth - in this scenario, all three streams </t>
  </si>
  <si>
    <t>have &gt;= 4.5mbps</t>
  </si>
  <si>
    <t>Davis/Skellern/Parks MAC Scenario I:  1 Asynch. Data Stream</t>
  </si>
  <si>
    <t>Davis/Skellern/Parks MAC Scenario II: 3 Asynch. Data Streams</t>
  </si>
  <si>
    <t xml:space="preserve">Davis/Skellern/Parks MAC  Scenario III: 1- Isoch.and 2 Asynch. </t>
  </si>
  <si>
    <t>LinCom Wireless MAC and Generic PHY</t>
  </si>
  <si>
    <t xml:space="preserve"> Throughput, MAC Overhead Efficiency, Airtime, Latency Calculations</t>
  </si>
  <si>
    <t>Throughput = Data Rate x Payload Duration/(Payload Duration+Overhead)</t>
  </si>
  <si>
    <t>Payload Duration = Payload Bits/Data Rate</t>
  </si>
  <si>
    <t>Overhead = PHY Hdr Duration + MAC Hdr, FCS Duration + SIFS + EACK Duration + PIFS</t>
  </si>
  <si>
    <t>Airtime= Payload Duration + Overhead</t>
  </si>
  <si>
    <t>LatencyN= Elapsed time to deliver packet after N retransmissions</t>
  </si>
  <si>
    <t>PHY Hdr Duration (us) =</t>
  </si>
  <si>
    <t>MAC Hdr, FCS (B) =</t>
  </si>
  <si>
    <t>SIFS (us) =</t>
  </si>
  <si>
    <t>ACK Payload (B) =</t>
  </si>
  <si>
    <t>PIFS (us) =</t>
  </si>
  <si>
    <t>Processing Latency (us) =</t>
  </si>
  <si>
    <t xml:space="preserve">Scenario 1- Single Access: One Way A-B transmissions </t>
  </si>
  <si>
    <t>Payload (Bytes)</t>
  </si>
  <si>
    <t>Data Rate (Mbps)</t>
  </si>
  <si>
    <t>Payload (Bits)</t>
  </si>
  <si>
    <t>Payload Duration       (us)</t>
  </si>
  <si>
    <t>Overhead Duration    (us)</t>
  </si>
  <si>
    <t>Throughput (Mbps)</t>
  </si>
  <si>
    <t>AirTime (us)</t>
  </si>
  <si>
    <t>Overhead (%)</t>
  </si>
  <si>
    <t>Latency0 (us)</t>
  </si>
  <si>
    <t xml:space="preserve"> Latency1 (us)</t>
  </si>
  <si>
    <t xml:space="preserve"> Latency2 (us)</t>
  </si>
  <si>
    <t xml:space="preserve"> Latency3 (us)</t>
  </si>
  <si>
    <t xml:space="preserve"> Latency4 (us)</t>
  </si>
  <si>
    <t>B</t>
  </si>
  <si>
    <t>Rx</t>
  </si>
  <si>
    <t>Tb</t>
  </si>
  <si>
    <t xml:space="preserve">Dp </t>
  </si>
  <si>
    <t>Do</t>
  </si>
  <si>
    <t>Tx</t>
  </si>
  <si>
    <t>A</t>
  </si>
  <si>
    <t>O</t>
  </si>
  <si>
    <t>L0</t>
  </si>
  <si>
    <t>L1</t>
  </si>
  <si>
    <t>L2</t>
  </si>
  <si>
    <t>L3</t>
  </si>
  <si>
    <t>L4</t>
  </si>
  <si>
    <t xml:space="preserve">Scenario 2,3- Multiple Access: One Way A-B transmission (Asynchronous or Isochronous) + Symmetrical C-D transmissions </t>
  </si>
  <si>
    <t>Ind Payload Duration       (us)</t>
  </si>
  <si>
    <t>Tot Overhead Duration    (us)</t>
  </si>
  <si>
    <t>Aggregate Throughput (Mbps)</t>
  </si>
  <si>
    <t>Ind Throughput (Mbps)</t>
  </si>
  <si>
    <t>Tot AirTime (us)</t>
  </si>
  <si>
    <t>Tot Overhead (%)</t>
  </si>
  <si>
    <t>Ind Latency0 (us)</t>
  </si>
  <si>
    <t>Ind Latency1 (us)</t>
  </si>
  <si>
    <t>Ind Latency2 (us)</t>
  </si>
  <si>
    <t>Ind Latency3 (us)</t>
  </si>
  <si>
    <t>Ind Latency4 (us)</t>
  </si>
  <si>
    <t>Txab</t>
  </si>
  <si>
    <t>MacPayLd_Time = Payload/bitspersec =</t>
  </si>
  <si>
    <t xml:space="preserve">MacProtocol_HdrOvrHdTime=  (DIFS + (2*(Preamble + Plcp)/bitspersec) </t>
  </si>
  <si>
    <t xml:space="preserve">                                                                  + (MacPayLdHdr/bitspersec) + SIFS+ (AckOvrHd/bitspersec))</t>
  </si>
  <si>
    <t xml:space="preserve">aDIFSTIME= </t>
  </si>
  <si>
    <t>Cumulative Duration</t>
  </si>
  <si>
    <t>Protocol Efficiency = Ep = MacPayLd_Time/(MacPayLd_Time+MacProtocol_HdrOvrHdTime)</t>
  </si>
  <si>
    <t xml:space="preserve">3)  For this example we(EK) used dot15.1 MAC header formats and </t>
  </si>
  <si>
    <t xml:space="preserve"> Scenario III</t>
  </si>
  <si>
    <t>SC-TDMA 1-Async Using 802.15.1 Overhead Values</t>
  </si>
  <si>
    <t>SC-TDMA 2-Async  Using 802.15.1 Overhead Values</t>
  </si>
  <si>
    <t>SC-TDMA 1-Isoc. and 2-Async. using 802.15.1 Overhead Values</t>
  </si>
  <si>
    <t>Mslot_I</t>
  </si>
  <si>
    <t xml:space="preserve">    A transmitting to B using fragmentation</t>
  </si>
  <si>
    <t xml:space="preserve">3)  For this example we used ShareWave  MAC header formats and </t>
  </si>
  <si>
    <t>Mslot_I = Mslot_Time = RxTx +(Preamble + PLCP)/bitspersec</t>
  </si>
  <si>
    <t>Formula for ShareWave Scenario I</t>
  </si>
  <si>
    <t>Formula for ShareWave Scenario III</t>
  </si>
  <si>
    <t>1) RF environment is noise free(1.0e-9 BER,yeah right)</t>
  </si>
  <si>
    <t>1) RF environment is noise free(1.0e-9 BER yeah right)</t>
  </si>
  <si>
    <t>Formula for ShareWave Scenarios II &amp; III</t>
  </si>
  <si>
    <t xml:space="preserve">MacProtocol_HdrOvrHdTime=  ((2*SIFS) + (4*RIFS)+ (6*(Preamble + Plcp)/bitspersec) </t>
  </si>
  <si>
    <t xml:space="preserve">                                                                         + (5*MacPayLdHdr/bitspersec)+ (AckOvrHd/bitspersec))</t>
  </si>
  <si>
    <t>MacPayLd_Time = MAC_payload/bitspersec =</t>
  </si>
  <si>
    <t>Overhead Duration</t>
  </si>
  <si>
    <t>Effective Through-put Rate</t>
  </si>
  <si>
    <t>Heberling</t>
  </si>
  <si>
    <t>Davis et al</t>
  </si>
  <si>
    <t>Rios</t>
  </si>
  <si>
    <t>Kinney</t>
  </si>
  <si>
    <t>Payload Duration w/ FEC</t>
  </si>
  <si>
    <t>MAC Proposers</t>
  </si>
  <si>
    <t>Protocol Efficiency w/ FEC</t>
  </si>
  <si>
    <t>PHY Proposer</t>
  </si>
  <si>
    <t>FEC_rate =</t>
  </si>
  <si>
    <t>Overhead Duration w/ FEC</t>
  </si>
  <si>
    <t xml:space="preserve">ACK in bits =   </t>
  </si>
  <si>
    <t>Parks' aRIFSTime=</t>
  </si>
  <si>
    <t>Kinney's PLCP in Bits=</t>
  </si>
  <si>
    <t>Parks' PLCP in Bits=</t>
  </si>
  <si>
    <t>Heberling's PLCP in Bits=</t>
  </si>
  <si>
    <t>Park's MacPayLdHdr=</t>
  </si>
  <si>
    <t>Kinney's MacPayLdHdr=</t>
  </si>
  <si>
    <t>Parks' AckOvrHd=</t>
  </si>
  <si>
    <t>Kinney's AckOvrHd =</t>
  </si>
  <si>
    <t>Heberling's Mslot_Time=</t>
  </si>
  <si>
    <t>Payload Duration (seconds)</t>
  </si>
  <si>
    <t>Overhead Duration (seconds)</t>
  </si>
  <si>
    <t>Rios' PLCP in Bits=</t>
  </si>
  <si>
    <t>Rios' MacPayLdHdr=</t>
  </si>
  <si>
    <t>Rios' AckOvrHd=</t>
  </si>
  <si>
    <t>Rios' aPIFSTime=</t>
  </si>
  <si>
    <t>?</t>
  </si>
  <si>
    <t>Data Rate (bps)</t>
  </si>
  <si>
    <t>Effective Throughput Rate (bps)</t>
  </si>
  <si>
    <t>Formula for dot11 Scenario I</t>
  </si>
  <si>
    <t>Formula for dot11 Scenario II</t>
  </si>
  <si>
    <t>Protocol Efficiency =  an exercise for the overly ambitious-Have fun!)</t>
  </si>
  <si>
    <t>November 2000</t>
  </si>
  <si>
    <t>IEEE P802.15</t>
  </si>
  <si>
    <t>Wireless Personal Area Networks</t>
  </si>
  <si>
    <t>Project</t>
  </si>
  <si>
    <t>IEEE P802.15 Working Group for Wireless Personal Area Networks (WPANs)</t>
  </si>
  <si>
    <t>Title</t>
  </si>
  <si>
    <t>Date Submitted</t>
  </si>
  <si>
    <t>Source</t>
  </si>
  <si>
    <t>Re:</t>
  </si>
  <si>
    <t>Abstract</t>
  </si>
  <si>
    <t>Purpose</t>
  </si>
  <si>
    <t>[]</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</si>
  <si>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</si>
  <si>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</si>
  <si>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</si>
  <si>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</si>
  <si>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IEEE P802.15.3-00/354r1</t>
  </si>
  <si>
    <t>MAC Subcommittee Throughput-Scenarios-Comparison-WrkBk</t>
  </si>
  <si>
    <t>[November 2, 2000]</t>
  </si>
  <si>
    <t>[Allen D. Heberling]</t>
  </si>
  <si>
    <t>[Eastman Kodak, Co.]</t>
  </si>
  <si>
    <t>[4545 E. River Rd]</t>
  </si>
  <si>
    <t>[ Rochester, NY 14650-0898 ]</t>
  </si>
  <si>
    <t>[Data throughput calculations for the for the various 802.15.3  MAC Proposals, per documents ]</t>
  </si>
  <si>
    <t>Voice: [(716)-781-9328]</t>
  </si>
  <si>
    <t>Fax: [ (716)-781-9733  ]</t>
  </si>
  <si>
    <t>E-mail: [allen.heberling@kodak.com ]</t>
  </si>
  <si>
    <t xml:space="preserve">1) to provide a venue in which to compare competing MAC proposals on the basis of their percent efficiency and effective throughput rates using three different scenarios.  The first scenario illustrated the behavior of the protocol when asynchronous data was being transmitted from node A &amp; B.  The second scenario illustrated the behavior of the protocol when a asynchronous data was being transmitted from node A to B,  and two asynchronous data streams were being exchanged between nodes C &amp; D.  The third scenario illustrated the behavior of the protocol when isochronous data was being transmitted from node A to B, and two asynchronous data streams were being exchanged between nodes C &amp; D.  </t>
  </si>
  <si>
    <t xml:space="preserve"> Each MAC proposer was asked to provide a spreadsheet containing a graphical representation of their MAC protocol , a list of MAC parameters(i.e. PLCP overhead bits,  MAC data header overhead bits, data payload, and protocol timing overhead).  In addition, each proposer was to provide relevant PHY parameters such as Preamble time, RxTxTurnaroundTime and any other PHY dependent parameters that their model needed.  Finally, each proposer was asked to provide a formula for each of the scenarios illustrated in their spreadsheet.</t>
  </si>
  <si>
    <t xml:space="preserve">2) to provide a summary comparison worksheet in which all of the MAC proposals are compared when paired with each PHY proposal.  </t>
  </si>
  <si>
    <t xml:space="preserve">     b) High end delivered throughput(ref. 3.3.3)</t>
  </si>
  <si>
    <t xml:space="preserve">     a) Minimum delivered throughput(ref. 3.3.2)</t>
  </si>
  <si>
    <t xml:space="preserve">3) to provide the PHY and MAC subcommittees a means of answering these evaluation criteria: </t>
  </si>
  <si>
    <t xml:space="preserve">     c) Minimum MAC/PHY Throughput(ref. 4.2.1)</t>
  </si>
  <si>
    <t xml:space="preserve">    d) High end MAC/PHY Throughput(ref. 4.2.2)</t>
  </si>
  <si>
    <t xml:space="preserve">This purpose of this collection of worksheets is three fold: </t>
  </si>
  <si>
    <t>Index:</t>
  </si>
  <si>
    <t>PURPOSE</t>
  </si>
  <si>
    <r>
      <t xml:space="preserve">    </t>
    </r>
    <r>
      <rPr>
        <b/>
        <sz val="10"/>
        <rFont val="Arial"/>
        <family val="2"/>
      </rPr>
      <t>FrameComp1</t>
    </r>
    <r>
      <rPr>
        <sz val="10"/>
        <rFont val="Arial"/>
        <family val="0"/>
      </rPr>
      <t xml:space="preserve"> provides the MAC header comparisons except for the Kinney proposal</t>
    </r>
  </si>
  <si>
    <r>
      <t xml:space="preserve">   </t>
    </r>
    <r>
      <rPr>
        <b/>
        <sz val="10"/>
        <rFont val="Arial"/>
        <family val="2"/>
      </rPr>
      <t xml:space="preserve"> .11Scenarios</t>
    </r>
    <r>
      <rPr>
        <sz val="10"/>
        <rFont val="Arial"/>
        <family val="0"/>
      </rPr>
      <t xml:space="preserve"> is a template illustrating the approach each MAC proposer was asked      to follow.</t>
    </r>
  </si>
  <si>
    <r>
      <t xml:space="preserve">   </t>
    </r>
    <r>
      <rPr>
        <b/>
        <sz val="10"/>
        <rFont val="Arial"/>
        <family val="2"/>
      </rPr>
      <t>KinneyMAC</t>
    </r>
    <r>
      <rPr>
        <sz val="10"/>
        <rFont val="Arial"/>
        <family val="0"/>
      </rPr>
      <t xml:space="preserve">  illustrates the Scenarios supported by the Kinney Mac proposal which is CSMA based.</t>
    </r>
  </si>
  <si>
    <r>
      <t xml:space="preserve">    </t>
    </r>
    <r>
      <rPr>
        <b/>
        <sz val="10"/>
        <rFont val="Arial"/>
        <family val="2"/>
      </rPr>
      <t>RiosMAC</t>
    </r>
    <r>
      <rPr>
        <sz val="10"/>
        <rFont val="Arial"/>
        <family val="0"/>
      </rPr>
      <t xml:space="preserve"> is a spreadsheet illustrating the percent efficiency and effective through put of the Rios MAC proposal which is CSMA based and uses a Point Coordination Function to enable Isochronous data streams.</t>
    </r>
  </si>
  <si>
    <r>
      <t xml:space="preserve">   </t>
    </r>
    <r>
      <rPr>
        <b/>
        <sz val="10"/>
        <rFont val="Arial"/>
        <family val="2"/>
      </rPr>
      <t>HeberlingMAC</t>
    </r>
    <r>
      <rPr>
        <sz val="10"/>
        <rFont val="Arial"/>
        <family val="0"/>
      </rPr>
      <t xml:space="preserve"> illustrates the Scenarios supported by the Heberling MAC proposal which is Slot-cycle TDMA based</t>
    </r>
  </si>
  <si>
    <r>
      <t xml:space="preserve">  </t>
    </r>
    <r>
      <rPr>
        <b/>
        <sz val="10"/>
        <rFont val="Arial"/>
        <family val="2"/>
      </rPr>
      <t>Davis/Skellern/ParksMAC</t>
    </r>
    <r>
      <rPr>
        <sz val="10"/>
        <rFont val="Arial"/>
        <family val="0"/>
      </rPr>
      <t xml:space="preserve"> illustrates the Scenarios supported by the Davis/Skellern/Parks MAC proposal which is based on an adaptive TDMA sheduling algorithm.</t>
    </r>
  </si>
  <si>
    <r>
      <t xml:space="preserve">    </t>
    </r>
    <r>
      <rPr>
        <b/>
        <sz val="10"/>
        <rFont val="Arial"/>
        <family val="2"/>
      </rPr>
      <t>SummaryFormulas</t>
    </r>
    <r>
      <rPr>
        <sz val="10"/>
        <rFont val="Arial"/>
        <family val="0"/>
      </rPr>
      <t xml:space="preserve">  is a spread sheet providing direct comparison of each of the MAC proposals for each of the PHY proposals.  The information compiled in this spreadsheet answers the evaluation criteria for Minimum Delivered through put and High end throughput.  The MAC formula from each proposer's Scenario II is used to generate the various values in the spread sheet.  In addition, data either provided by each PHY proposer or collected by Carlos Rios is used as well by the MAC formulas.</t>
    </r>
  </si>
  <si>
    <t>Rios' LCW EAckOvrHd=</t>
  </si>
  <si>
    <t>Rios' TI EAckOvrHd=</t>
  </si>
  <si>
    <t>Heberling's MacPayLdHdr w/o CRC =</t>
  </si>
  <si>
    <t>Heberling's EAckOvrHd =</t>
  </si>
  <si>
    <t>Reuse 802.15.1</t>
  </si>
  <si>
    <t>AM_ADDR Dst.</t>
  </si>
  <si>
    <t>AM_ADDR Src.</t>
  </si>
  <si>
    <t>CRC(32)</t>
  </si>
  <si>
    <t>Park's CRC_OvrHd=</t>
  </si>
  <si>
    <t>Kinney's CRC_OvrHd=</t>
  </si>
  <si>
    <t>Heberling's CRC_OvrHd=</t>
  </si>
  <si>
    <t>Payload per Packet (Bytes)</t>
  </si>
  <si>
    <t>Payload per Packet (Bits)</t>
  </si>
  <si>
    <t>CRC_OvrHd =</t>
  </si>
  <si>
    <t>No. of Pkts per slotcycle =</t>
  </si>
  <si>
    <t xml:space="preserve">                                                                         + (MacPayLdHdr+PktsPerSlotCycle*CRC_OvrHd)/bitspersec) </t>
  </si>
  <si>
    <t>+ SIFS+ (AckOvrHd/bitspersec))</t>
  </si>
  <si>
    <r>
      <t>Please Note</t>
    </r>
    <r>
      <rPr>
        <sz val="10"/>
        <rFont val="Arial"/>
        <family val="0"/>
      </rPr>
      <t xml:space="preserve"> that the KinneyMAC and the Davis/Skellern/ParksMAC proposals have adopted the Heberling/SchraderMAC algorithm for use with their protocols. Consequently the SummaryFormulas worksheet shows the subtle differences between the Heberling/SchraderMAC, KinneyMAC and the Davis/Skellern/ParksMAC due to differences in Header structures for the PLCP and the MAC headers.  </t>
    </r>
  </si>
  <si>
    <t>Acknowledgements:</t>
  </si>
  <si>
    <t>I would like to thank all of the MAC proposers for contributing their spreadsheets, their time and their insights to this document.  Additional thanks to Carlos Rios for his team's spreadsheet which served as a template for the SummaryFormulas worksheet and for the PHY data that they either collected or estimated.</t>
  </si>
  <si>
    <t>Scenario II: 3 Asynch. Data Streams,  A-&gt;B,  C&lt;--&gt;D</t>
  </si>
  <si>
    <t>for 40Mbps phy</t>
  </si>
  <si>
    <t>Carlson/Allen</t>
  </si>
  <si>
    <t>Carlson/Allen PHY Dependent Variable Definitions</t>
  </si>
  <si>
    <t>Dabak PHY Dependent Variable Definitions</t>
  </si>
  <si>
    <t>Dabak</t>
  </si>
  <si>
    <t>Karaoguz PHY Dependent Variable Definitions</t>
  </si>
  <si>
    <t>Karaoguz</t>
  </si>
  <si>
    <t>O'Farrell</t>
  </si>
  <si>
    <t>Rofheart PHY Dependent Variable Definitions</t>
  </si>
  <si>
    <t>Rofheart</t>
  </si>
  <si>
    <t>Skellern/De'Courville</t>
  </si>
  <si>
    <t>Skellern et al PHY Dependent Variable Definitions</t>
  </si>
  <si>
    <t>Rios'  PHY Dependent Variable Definitions</t>
  </si>
  <si>
    <t>Dabak's PhyOvrHd in seconds =</t>
  </si>
  <si>
    <t>Karaoguz's PhyOvrHd in seconds =</t>
  </si>
  <si>
    <t>O'Farrell's PhyOvrHd in seconds =</t>
  </si>
  <si>
    <t>Rofheart's PhyOvrHd in seconds =</t>
  </si>
  <si>
    <t>Skellern's PhyOvrHd in seconds =</t>
  </si>
  <si>
    <t>Rios's PhyOvrHd in seconds =</t>
  </si>
  <si>
    <t>Carlson's PhyOvrHd in seconds=</t>
  </si>
  <si>
    <t>O'Farrell PHY Dependent Variable Definitions</t>
  </si>
  <si>
    <t>Rios'  LCW MacPayLdHdr=</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</si>
</sst>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E+00"/>
    <numFmt numFmtId="165" formatCode="0.0000%"/>
    <numFmt numFmtId="166" formatCode="0.000E+00"/>
    <numFmt numFmtId="167" formatCode="0.0E+00"/>
    <numFmt numFmtId="168" formatCode="0.0"/>
    <numFmt numFmtId="169" formatCode="0.0%"/>
  </numFmts>
  <fonts count="17">
    <font>
      <sz val="10"/>
      <name val="Arial"/>
      <family val="0"/>
    </font>
    <font>
      <sz val="8"/>
      <name val="Arial"/>
      <family val="2"/>
    </font>
    <font>
      <b/>
      <sz val="8"/>
      <name val="Arial"/>
      <family val="2"/>
    </font>
    <font>
      <b/>
      <sz val="10"/>
      <name val="Arial"/>
      <family val="2"/>
    </font>
    <font>
      <sz val="14"/>
      <name val="Arial"/>
      <family val="2"/>
    </font>
    <font>
      <b/>
      <sz val="14"/>
      <name val="Arial"/>
      <family val="2"/>
    </font>
    <font>
      <sz val="9"/>
      <name val="Arial"/>
      <family val="2"/>
    </font>
    <font>
      <b/>
      <sz val="9"/>
      <name val="Arial"/>
      <family val="2"/>
    </font>
    <font>
      <b/>
      <u val="single"/>
      <sz val="10"/>
      <name val="Arial"/>
      <family val="2"/>
    </font>
    <font>
      <sz val="11"/>
      <name val="Arial"/>
      <family val="2"/>
    </font>
    <font>
      <b/>
      <sz val="11"/>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12"/>
      <name val="Arial"/>
      <family val="2"/>
    </font>
  </fonts>
  <fills count="9">
    <fill>
      <patternFill/>
    </fill>
    <fill>
      <patternFill patternType="gray125"/>
    </fill>
    <fill>
      <patternFill patternType="solid">
        <fgColor indexed="13"/>
        <bgColor indexed="64"/>
      </patternFill>
    </fill>
    <fill>
      <patternFill patternType="solid">
        <fgColor indexed="42"/>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41"/>
        <bgColor indexed="64"/>
      </patternFill>
    </fill>
    <fill>
      <patternFill patternType="solid">
        <fgColor indexed="52"/>
        <bgColor indexed="64"/>
      </patternFill>
    </fill>
  </fills>
  <borders count="50">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hair"/>
      <bottom style="hair"/>
    </border>
    <border>
      <left style="hair"/>
      <right style="hair"/>
      <top style="hair"/>
      <bottom style="hair"/>
    </border>
    <border>
      <left style="hair"/>
      <right style="thin"/>
      <top style="hair"/>
      <bottom style="hair"/>
    </border>
    <border>
      <left style="thin"/>
      <right style="thin"/>
      <top>
        <color indexed="63"/>
      </top>
      <bottom>
        <color indexed="63"/>
      </bottom>
    </border>
    <border>
      <left style="thin"/>
      <right style="hair"/>
      <top style="hair"/>
      <bottom style="thin"/>
    </border>
    <border>
      <left style="hair"/>
      <right style="hair"/>
      <top style="hair"/>
      <bottom style="thin"/>
    </border>
    <border>
      <left style="hair"/>
      <right style="thin"/>
      <top style="hair"/>
      <bottom style="thin"/>
    </border>
    <border>
      <left style="thin"/>
      <right style="thin"/>
      <top style="thin"/>
      <bottom style="double"/>
    </border>
    <border>
      <left style="hair"/>
      <right style="hair"/>
      <top>
        <color indexed="63"/>
      </top>
      <bottom>
        <color indexed="63"/>
      </bottom>
    </border>
    <border>
      <left style="hair"/>
      <right style="thin"/>
      <top>
        <color indexed="63"/>
      </top>
      <bottom>
        <color indexed="63"/>
      </bottom>
    </border>
    <border>
      <left style="thin"/>
      <right style="thin"/>
      <top>
        <color indexed="63"/>
      </top>
      <bottom style="double"/>
    </border>
    <border>
      <left style="thin"/>
      <right style="thin"/>
      <top style="double"/>
      <bottom style="thin"/>
    </border>
    <border>
      <left style="thin"/>
      <right style="hair"/>
      <top style="double"/>
      <bottom style="thin"/>
    </border>
    <border>
      <left style="thin"/>
      <right style="thin"/>
      <top style="hair"/>
      <bottom style="thin"/>
    </border>
    <border>
      <left>
        <color indexed="63"/>
      </left>
      <right style="hair"/>
      <top>
        <color indexed="63"/>
      </top>
      <bottom>
        <color indexed="63"/>
      </bottom>
    </border>
    <border>
      <left style="thin"/>
      <right style="hair"/>
      <top style="double"/>
      <bottom style="hair"/>
    </border>
    <border>
      <left style="hair"/>
      <right style="hair"/>
      <top style="double"/>
      <bottom style="hair"/>
    </border>
    <border>
      <left style="hair"/>
      <right style="thin"/>
      <top style="double"/>
      <bottom style="hair"/>
    </border>
    <border>
      <left style="thin"/>
      <right style="thin"/>
      <top style="double"/>
      <bottom style="hair"/>
    </border>
    <border>
      <left style="hair"/>
      <right style="hair"/>
      <top style="hair"/>
      <bottom>
        <color indexed="63"/>
      </bottom>
    </border>
    <border>
      <left style="hair"/>
      <right style="thin"/>
      <top style="hair"/>
      <bottom>
        <color indexed="63"/>
      </bottom>
    </border>
    <border>
      <left style="thin"/>
      <right style="thin"/>
      <top style="thin"/>
      <bottom style="hair"/>
    </border>
    <border>
      <left style="hair"/>
      <right style="hair"/>
      <top style="thin"/>
      <bottom style="hair"/>
    </border>
    <border>
      <left style="hair"/>
      <right style="thin"/>
      <top style="thin"/>
      <bottom style="hair"/>
    </border>
    <border>
      <left style="thin"/>
      <right style="thin"/>
      <top style="hair"/>
      <bottom style="double"/>
    </border>
    <border>
      <left style="hair"/>
      <right style="hair"/>
      <top style="hair"/>
      <bottom style="double"/>
    </border>
    <border>
      <left style="hair"/>
      <right style="thin"/>
      <top style="hair"/>
      <bottom style="double"/>
    </border>
    <border>
      <left style="thin"/>
      <right style="hair"/>
      <top>
        <color indexed="63"/>
      </top>
      <bottom>
        <color indexed="63"/>
      </bottom>
    </border>
    <border>
      <left style="hair"/>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86">
    <xf numFmtId="0" fontId="0" fillId="0" borderId="0" xfId="0" applyAlignment="1">
      <alignment/>
    </xf>
    <xf numFmtId="0" fontId="1" fillId="0" borderId="0" xfId="0" applyFont="1" applyAlignment="1">
      <alignment/>
    </xf>
    <xf numFmtId="0" fontId="2" fillId="0" borderId="1" xfId="0" applyFont="1" applyBorder="1" applyAlignment="1">
      <alignment/>
    </xf>
    <xf numFmtId="0" fontId="1" fillId="0" borderId="1" xfId="0" applyFont="1" applyBorder="1" applyAlignment="1">
      <alignment horizontal="center" wrapText="1"/>
    </xf>
    <xf numFmtId="0" fontId="1" fillId="0" borderId="1" xfId="0" applyFont="1" applyBorder="1" applyAlignment="1">
      <alignment horizontal="center"/>
    </xf>
    <xf numFmtId="0" fontId="1" fillId="0" borderId="1" xfId="0" applyFont="1" applyBorder="1" applyAlignment="1">
      <alignment wrapText="1"/>
    </xf>
    <xf numFmtId="0" fontId="1" fillId="0" borderId="1" xfId="0" applyFont="1" applyBorder="1" applyAlignment="1">
      <alignment/>
    </xf>
    <xf numFmtId="0" fontId="0" fillId="0" borderId="1" xfId="0" applyBorder="1" applyAlignment="1">
      <alignment/>
    </xf>
    <xf numFmtId="0" fontId="2" fillId="0" borderId="1" xfId="0" applyFont="1" applyBorder="1" applyAlignment="1">
      <alignment horizontal="centerContinuous"/>
    </xf>
    <xf numFmtId="0" fontId="1" fillId="0" borderId="1" xfId="0" applyFont="1" applyBorder="1" applyAlignment="1">
      <alignment horizontal="centerContinuous"/>
    </xf>
    <xf numFmtId="0" fontId="1" fillId="0" borderId="0" xfId="0" applyFont="1" applyAlignment="1">
      <alignment horizontal="center"/>
    </xf>
    <xf numFmtId="0" fontId="2" fillId="0" borderId="2" xfId="0" applyFont="1" applyBorder="1" applyAlignment="1">
      <alignment horizontal="centerContinuous"/>
    </xf>
    <xf numFmtId="0" fontId="1" fillId="0" borderId="2" xfId="0" applyFont="1" applyBorder="1" applyAlignment="1">
      <alignment/>
    </xf>
    <xf numFmtId="0" fontId="0" fillId="0" borderId="2" xfId="0" applyBorder="1" applyAlignment="1">
      <alignment/>
    </xf>
    <xf numFmtId="10" fontId="1" fillId="0" borderId="1" xfId="0" applyNumberFormat="1" applyFont="1" applyBorder="1" applyAlignment="1">
      <alignment horizontal="center"/>
    </xf>
    <xf numFmtId="10" fontId="0" fillId="0" borderId="0" xfId="0" applyNumberFormat="1" applyAlignment="1">
      <alignment/>
    </xf>
    <xf numFmtId="11" fontId="0" fillId="0" borderId="0" xfId="0" applyNumberFormat="1" applyAlignment="1">
      <alignment/>
    </xf>
    <xf numFmtId="164" fontId="1" fillId="0" borderId="0" xfId="0" applyNumberFormat="1" applyFont="1" applyAlignment="1">
      <alignment/>
    </xf>
    <xf numFmtId="164" fontId="0" fillId="0" borderId="0" xfId="0" applyNumberFormat="1" applyAlignment="1">
      <alignment/>
    </xf>
    <xf numFmtId="11" fontId="1" fillId="0" borderId="0" xfId="0" applyNumberFormat="1" applyFont="1" applyAlignment="1">
      <alignment/>
    </xf>
    <xf numFmtId="164" fontId="1" fillId="0" borderId="1" xfId="0" applyNumberFormat="1" applyFont="1" applyBorder="1" applyAlignment="1">
      <alignment/>
    </xf>
    <xf numFmtId="11" fontId="1" fillId="0" borderId="1" xfId="0" applyNumberFormat="1" applyFont="1" applyBorder="1" applyAlignment="1">
      <alignment/>
    </xf>
    <xf numFmtId="10" fontId="1" fillId="0" borderId="1" xfId="0" applyNumberFormat="1" applyFont="1" applyBorder="1" applyAlignment="1">
      <alignment/>
    </xf>
    <xf numFmtId="0" fontId="1" fillId="0" borderId="1" xfId="0" applyFont="1" applyBorder="1" applyAlignment="1">
      <alignment horizontal="right"/>
    </xf>
    <xf numFmtId="0" fontId="1" fillId="0" borderId="1" xfId="0" applyFont="1" applyBorder="1" applyAlignment="1">
      <alignment horizontal="right" wrapText="1"/>
    </xf>
    <xf numFmtId="0" fontId="1" fillId="0" borderId="1" xfId="0" applyNumberFormat="1" applyFont="1" applyBorder="1" applyAlignment="1">
      <alignment/>
    </xf>
    <xf numFmtId="165" fontId="1" fillId="0" borderId="0" xfId="0" applyNumberFormat="1" applyFont="1" applyAlignment="1">
      <alignment/>
    </xf>
    <xf numFmtId="0" fontId="1" fillId="0" borderId="0" xfId="0" applyFont="1" applyBorder="1" applyAlignment="1">
      <alignment/>
    </xf>
    <xf numFmtId="0" fontId="0" fillId="0" borderId="0" xfId="0" applyBorder="1" applyAlignment="1">
      <alignment/>
    </xf>
    <xf numFmtId="0" fontId="1" fillId="0" borderId="3" xfId="0" applyFont="1" applyBorder="1" applyAlignment="1">
      <alignment/>
    </xf>
    <xf numFmtId="11" fontId="1" fillId="0" borderId="4" xfId="0" applyNumberFormat="1" applyFont="1" applyBorder="1" applyAlignment="1">
      <alignment/>
    </xf>
    <xf numFmtId="11" fontId="1" fillId="0" borderId="5" xfId="0" applyNumberFormat="1" applyFont="1" applyBorder="1" applyAlignment="1">
      <alignment/>
    </xf>
    <xf numFmtId="0" fontId="1" fillId="0" borderId="6" xfId="0" applyFont="1" applyBorder="1" applyAlignment="1">
      <alignment/>
    </xf>
    <xf numFmtId="0" fontId="1" fillId="0" borderId="3" xfId="0" applyFont="1" applyBorder="1" applyAlignment="1">
      <alignment horizontal="right"/>
    </xf>
    <xf numFmtId="0" fontId="1" fillId="0" borderId="5" xfId="0" applyNumberFormat="1" applyFont="1" applyBorder="1" applyAlignment="1">
      <alignment/>
    </xf>
    <xf numFmtId="11" fontId="1" fillId="0" borderId="0" xfId="0" applyNumberFormat="1" applyFont="1" applyBorder="1" applyAlignment="1">
      <alignment/>
    </xf>
    <xf numFmtId="11" fontId="1" fillId="0" borderId="6" xfId="0" applyNumberFormat="1" applyFont="1" applyBorder="1" applyAlignment="1">
      <alignment/>
    </xf>
    <xf numFmtId="0" fontId="2" fillId="2" borderId="1" xfId="0" applyFont="1" applyFill="1" applyBorder="1" applyAlignment="1">
      <alignment horizontal="centerContinuous"/>
    </xf>
    <xf numFmtId="0" fontId="1" fillId="2" borderId="1" xfId="0" applyFont="1" applyFill="1" applyBorder="1" applyAlignment="1">
      <alignment horizontal="centerContinuous"/>
    </xf>
    <xf numFmtId="164" fontId="0" fillId="2" borderId="1" xfId="0" applyNumberFormat="1" applyFill="1" applyBorder="1" applyAlignment="1">
      <alignment horizontal="centerContinuous"/>
    </xf>
    <xf numFmtId="0" fontId="2" fillId="2" borderId="1" xfId="0" applyFont="1" applyFill="1" applyBorder="1" applyAlignment="1">
      <alignment horizontal="centerContinuous" vertical="center"/>
    </xf>
    <xf numFmtId="0" fontId="0" fillId="2" borderId="1" xfId="0" applyFill="1" applyBorder="1" applyAlignment="1">
      <alignment horizontal="centerContinuous"/>
    </xf>
    <xf numFmtId="0" fontId="1" fillId="0" borderId="0" xfId="0" applyFont="1" applyBorder="1" applyAlignment="1">
      <alignment horizontal="center"/>
    </xf>
    <xf numFmtId="164" fontId="1" fillId="0" borderId="0" xfId="0" applyNumberFormat="1" applyFont="1" applyBorder="1" applyAlignment="1">
      <alignment/>
    </xf>
    <xf numFmtId="0" fontId="1" fillId="0" borderId="7" xfId="0" applyFont="1" applyBorder="1" applyAlignment="1">
      <alignment/>
    </xf>
    <xf numFmtId="0" fontId="0" fillId="0" borderId="8" xfId="0" applyBorder="1" applyAlignment="1">
      <alignment/>
    </xf>
    <xf numFmtId="0" fontId="0" fillId="0" borderId="9" xfId="0" applyBorder="1" applyAlignment="1">
      <alignment/>
    </xf>
    <xf numFmtId="0" fontId="1" fillId="0" borderId="10" xfId="0" applyFont="1" applyBorder="1" applyAlignment="1">
      <alignment/>
    </xf>
    <xf numFmtId="0" fontId="0" fillId="0" borderId="10" xfId="0" applyBorder="1" applyAlignment="1">
      <alignment/>
    </xf>
    <xf numFmtId="0" fontId="0" fillId="0" borderId="11" xfId="0" applyBorder="1" applyAlignment="1">
      <alignment/>
    </xf>
    <xf numFmtId="0" fontId="3" fillId="2" borderId="3" xfId="0" applyFont="1" applyFill="1" applyBorder="1" applyAlignment="1">
      <alignment horizontal="centerContinuous"/>
    </xf>
    <xf numFmtId="0" fontId="1" fillId="2" borderId="6" xfId="0" applyFont="1" applyFill="1" applyBorder="1" applyAlignment="1">
      <alignment horizontal="centerContinuous"/>
    </xf>
    <xf numFmtId="0" fontId="0" fillId="2" borderId="6" xfId="0" applyFill="1" applyBorder="1" applyAlignment="1">
      <alignment horizontal="centerContinuous"/>
    </xf>
    <xf numFmtId="0" fontId="0" fillId="2" borderId="2" xfId="0" applyFill="1" applyBorder="1" applyAlignment="1">
      <alignment horizontal="centerContinuous"/>
    </xf>
    <xf numFmtId="0" fontId="1" fillId="0" borderId="8" xfId="0" applyFont="1" applyBorder="1" applyAlignment="1">
      <alignment/>
    </xf>
    <xf numFmtId="0" fontId="1" fillId="0" borderId="12" xfId="0" applyFont="1" applyBorder="1" applyAlignment="1">
      <alignment/>
    </xf>
    <xf numFmtId="0" fontId="1" fillId="2" borderId="0" xfId="0" applyFont="1" applyFill="1" applyAlignment="1">
      <alignment horizontal="centerContinuous"/>
    </xf>
    <xf numFmtId="0" fontId="2" fillId="2" borderId="0" xfId="0" applyFont="1" applyFill="1" applyAlignment="1">
      <alignment horizontal="centerContinuous"/>
    </xf>
    <xf numFmtId="0" fontId="0" fillId="0" borderId="0" xfId="0" applyFont="1" applyAlignment="1">
      <alignment horizontal="left"/>
    </xf>
    <xf numFmtId="0" fontId="0" fillId="0" borderId="0" xfId="0" applyFont="1" applyAlignment="1">
      <alignment/>
    </xf>
    <xf numFmtId="0" fontId="3" fillId="0" borderId="0" xfId="0" applyFont="1" applyAlignment="1">
      <alignment/>
    </xf>
    <xf numFmtId="0" fontId="0" fillId="0" borderId="0" xfId="0" applyFill="1" applyBorder="1" applyAlignment="1">
      <alignment/>
    </xf>
    <xf numFmtId="0" fontId="2" fillId="0" borderId="13" xfId="0" applyFont="1" applyBorder="1" applyAlignment="1">
      <alignment/>
    </xf>
    <xf numFmtId="164" fontId="1" fillId="0" borderId="7" xfId="0" applyNumberFormat="1" applyFont="1" applyBorder="1" applyAlignment="1">
      <alignment/>
    </xf>
    <xf numFmtId="11" fontId="1" fillId="0" borderId="14" xfId="0" applyNumberFormat="1" applyFont="1" applyBorder="1" applyAlignment="1">
      <alignment/>
    </xf>
    <xf numFmtId="0" fontId="1" fillId="0" borderId="12" xfId="0" applyFont="1" applyBorder="1" applyAlignment="1">
      <alignment horizontal="center"/>
    </xf>
    <xf numFmtId="164" fontId="1" fillId="0" borderId="10" xfId="0" applyNumberFormat="1" applyFont="1" applyBorder="1" applyAlignment="1">
      <alignment/>
    </xf>
    <xf numFmtId="11" fontId="1" fillId="0" borderId="11" xfId="0" applyNumberFormat="1" applyFont="1" applyBorder="1" applyAlignment="1">
      <alignment/>
    </xf>
    <xf numFmtId="0" fontId="1" fillId="0" borderId="5" xfId="0" applyFont="1" applyBorder="1" applyAlignment="1">
      <alignment/>
    </xf>
    <xf numFmtId="0" fontId="1" fillId="0" borderId="5" xfId="0" applyFont="1" applyBorder="1" applyAlignment="1">
      <alignment wrapText="1"/>
    </xf>
    <xf numFmtId="0" fontId="1" fillId="0" borderId="5" xfId="0" applyFont="1" applyBorder="1" applyAlignment="1">
      <alignment horizontal="center" wrapText="1"/>
    </xf>
    <xf numFmtId="0" fontId="2" fillId="0" borderId="3" xfId="0" applyFont="1" applyBorder="1" applyAlignment="1">
      <alignment horizontal="centerContinuous"/>
    </xf>
    <xf numFmtId="0" fontId="1" fillId="0" borderId="6" xfId="0" applyFont="1" applyBorder="1" applyAlignment="1">
      <alignment horizontal="centerContinuous"/>
    </xf>
    <xf numFmtId="0" fontId="1" fillId="0" borderId="2" xfId="0" applyFont="1" applyBorder="1" applyAlignment="1">
      <alignment horizontal="centerContinuous"/>
    </xf>
    <xf numFmtId="0" fontId="2" fillId="0" borderId="6" xfId="0" applyFont="1" applyBorder="1" applyAlignment="1">
      <alignment horizontal="centerContinuous"/>
    </xf>
    <xf numFmtId="0" fontId="3" fillId="2" borderId="15" xfId="0" applyFont="1" applyFill="1" applyBorder="1" applyAlignment="1">
      <alignment horizontal="centerContinuous"/>
    </xf>
    <xf numFmtId="0" fontId="1" fillId="2" borderId="16" xfId="0" applyFont="1" applyFill="1" applyBorder="1" applyAlignment="1">
      <alignment horizontal="centerContinuous"/>
    </xf>
    <xf numFmtId="0" fontId="0" fillId="2" borderId="16" xfId="0" applyFill="1" applyBorder="1" applyAlignment="1">
      <alignment horizontal="centerContinuous"/>
    </xf>
    <xf numFmtId="0" fontId="0" fillId="2" borderId="17" xfId="0" applyFill="1" applyBorder="1" applyAlignment="1">
      <alignment horizontal="centerContinuous"/>
    </xf>
    <xf numFmtId="0" fontId="4" fillId="0" borderId="0" xfId="0" applyFont="1" applyAlignment="1">
      <alignment/>
    </xf>
    <xf numFmtId="0" fontId="4" fillId="0" borderId="8" xfId="0" applyFont="1" applyFill="1" applyBorder="1" applyAlignment="1">
      <alignment/>
    </xf>
    <xf numFmtId="49" fontId="3" fillId="0" borderId="3" xfId="0" applyNumberFormat="1" applyFont="1" applyBorder="1" applyAlignment="1">
      <alignment horizontal="left" vertical="center"/>
    </xf>
    <xf numFmtId="49" fontId="3" fillId="0" borderId="6" xfId="0" applyNumberFormat="1" applyFont="1" applyBorder="1" applyAlignment="1">
      <alignment horizontal="left" vertical="center"/>
    </xf>
    <xf numFmtId="49" fontId="3" fillId="0" borderId="6" xfId="0" applyNumberFormat="1" applyFont="1" applyBorder="1" applyAlignment="1">
      <alignment horizontal="center" vertical="center"/>
    </xf>
    <xf numFmtId="49" fontId="3" fillId="0" borderId="2" xfId="0" applyNumberFormat="1" applyFont="1" applyFill="1" applyBorder="1" applyAlignment="1">
      <alignment horizontal="center" vertical="center"/>
    </xf>
    <xf numFmtId="49" fontId="3" fillId="0" borderId="0" xfId="0" applyNumberFormat="1" applyFont="1" applyAlignment="1">
      <alignment horizontal="center" vertical="center"/>
    </xf>
    <xf numFmtId="49" fontId="3" fillId="0" borderId="2" xfId="0" applyNumberFormat="1" applyFont="1" applyBorder="1" applyAlignment="1">
      <alignment horizontal="center" vertical="center"/>
    </xf>
    <xf numFmtId="49" fontId="3" fillId="0" borderId="8" xfId="0" applyNumberFormat="1" applyFont="1" applyBorder="1" applyAlignment="1">
      <alignment horizontal="center" vertic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wrapText="1"/>
    </xf>
    <xf numFmtId="49" fontId="1" fillId="0" borderId="20" xfId="0" applyNumberFormat="1" applyFont="1" applyBorder="1" applyAlignment="1">
      <alignment horizontal="center" vertical="center" wrapText="1"/>
    </xf>
    <xf numFmtId="49" fontId="1" fillId="0" borderId="0" xfId="0" applyNumberFormat="1" applyFont="1" applyAlignment="1">
      <alignment horizontal="center" vertical="center"/>
    </xf>
    <xf numFmtId="0" fontId="6" fillId="0" borderId="21" xfId="0" applyFont="1" applyBorder="1" applyAlignment="1">
      <alignment horizontal="center"/>
    </xf>
    <xf numFmtId="1" fontId="6" fillId="0" borderId="22" xfId="0" applyNumberFormat="1" applyFont="1" applyBorder="1" applyAlignment="1">
      <alignment horizontal="right"/>
    </xf>
    <xf numFmtId="164" fontId="6" fillId="0" borderId="23" xfId="0" applyNumberFormat="1" applyFont="1" applyBorder="1" applyAlignment="1">
      <alignment/>
    </xf>
    <xf numFmtId="164" fontId="6" fillId="0" borderId="4" xfId="0" applyNumberFormat="1" applyFont="1" applyFill="1" applyBorder="1" applyAlignment="1">
      <alignment/>
    </xf>
    <xf numFmtId="0" fontId="6" fillId="0" borderId="0" xfId="0" applyFont="1" applyAlignment="1">
      <alignment/>
    </xf>
    <xf numFmtId="164" fontId="6" fillId="0" borderId="24" xfId="0" applyNumberFormat="1" applyFont="1" applyFill="1" applyBorder="1" applyAlignment="1">
      <alignment/>
    </xf>
    <xf numFmtId="0" fontId="6" fillId="0" borderId="22" xfId="0" applyFont="1" applyBorder="1" applyAlignment="1">
      <alignment horizontal="right"/>
    </xf>
    <xf numFmtId="0" fontId="7" fillId="0" borderId="21" xfId="0" applyFont="1" applyBorder="1" applyAlignment="1">
      <alignment horizontal="center"/>
    </xf>
    <xf numFmtId="164" fontId="6" fillId="0" borderId="0" xfId="0" applyNumberFormat="1" applyFont="1" applyAlignment="1">
      <alignment/>
    </xf>
    <xf numFmtId="0" fontId="6" fillId="0" borderId="25" xfId="0" applyFont="1" applyBorder="1" applyAlignment="1">
      <alignment horizontal="center"/>
    </xf>
    <xf numFmtId="0" fontId="6" fillId="0" borderId="26" xfId="0" applyFont="1" applyBorder="1" applyAlignment="1">
      <alignment horizontal="right"/>
    </xf>
    <xf numFmtId="164" fontId="6" fillId="0" borderId="27" xfId="0" applyNumberFormat="1" applyFont="1" applyBorder="1" applyAlignment="1">
      <alignment/>
    </xf>
    <xf numFmtId="164" fontId="6" fillId="0" borderId="5" xfId="0" applyNumberFormat="1" applyFont="1" applyFill="1" applyBorder="1" applyAlignment="1">
      <alignment/>
    </xf>
    <xf numFmtId="0" fontId="0" fillId="0" borderId="0" xfId="0" applyAlignment="1">
      <alignment horizontal="right"/>
    </xf>
    <xf numFmtId="11" fontId="0" fillId="0" borderId="0" xfId="0" applyNumberFormat="1" applyFill="1" applyBorder="1" applyAlignment="1">
      <alignment/>
    </xf>
    <xf numFmtId="0" fontId="0" fillId="0" borderId="1" xfId="0" applyBorder="1" applyAlignment="1">
      <alignment horizontal="right"/>
    </xf>
    <xf numFmtId="164" fontId="0" fillId="0" borderId="1" xfId="0" applyNumberFormat="1" applyBorder="1" applyAlignment="1">
      <alignment/>
    </xf>
    <xf numFmtId="164" fontId="0" fillId="0" borderId="1" xfId="0" applyNumberFormat="1" applyFill="1" applyBorder="1" applyAlignment="1">
      <alignment/>
    </xf>
    <xf numFmtId="0" fontId="6" fillId="0" borderId="1" xfId="0" applyFont="1" applyBorder="1" applyAlignment="1">
      <alignment/>
    </xf>
    <xf numFmtId="166" fontId="0" fillId="0" borderId="1" xfId="0" applyNumberFormat="1" applyBorder="1" applyAlignment="1">
      <alignment/>
    </xf>
    <xf numFmtId="0" fontId="1" fillId="0" borderId="28" xfId="0" applyFont="1" applyBorder="1" applyAlignment="1">
      <alignment/>
    </xf>
    <xf numFmtId="0" fontId="0" fillId="0" borderId="28" xfId="0" applyBorder="1" applyAlignment="1">
      <alignment horizontal="right"/>
    </xf>
    <xf numFmtId="0" fontId="6" fillId="0" borderId="28" xfId="0" applyFont="1" applyBorder="1" applyAlignment="1">
      <alignment/>
    </xf>
    <xf numFmtId="164" fontId="6" fillId="0" borderId="1" xfId="0" applyNumberFormat="1" applyFont="1" applyBorder="1" applyAlignment="1">
      <alignment/>
    </xf>
    <xf numFmtId="10" fontId="0" fillId="0" borderId="5" xfId="0" applyNumberFormat="1" applyBorder="1" applyAlignment="1">
      <alignment horizontal="right"/>
    </xf>
    <xf numFmtId="10" fontId="0" fillId="0" borderId="5" xfId="0" applyNumberFormat="1" applyFont="1" applyBorder="1" applyAlignment="1">
      <alignment/>
    </xf>
    <xf numFmtId="164" fontId="0" fillId="0" borderId="1" xfId="0" applyNumberFormat="1" applyFont="1" applyFill="1" applyBorder="1" applyAlignment="1">
      <alignment/>
    </xf>
    <xf numFmtId="11" fontId="0" fillId="0" borderId="1" xfId="0" applyNumberFormat="1" applyBorder="1" applyAlignment="1">
      <alignment/>
    </xf>
    <xf numFmtId="11" fontId="0" fillId="0" borderId="1" xfId="0" applyNumberFormat="1" applyFill="1" applyBorder="1" applyAlignment="1">
      <alignment/>
    </xf>
    <xf numFmtId="0" fontId="0" fillId="0" borderId="0" xfId="0" applyBorder="1" applyAlignment="1">
      <alignment horizontal="right"/>
    </xf>
    <xf numFmtId="11" fontId="0" fillId="0" borderId="0" xfId="0" applyNumberFormat="1" applyBorder="1" applyAlignment="1">
      <alignment/>
    </xf>
    <xf numFmtId="0" fontId="0" fillId="0" borderId="0" xfId="0" applyFill="1" applyBorder="1" applyAlignment="1">
      <alignment horizontal="center"/>
    </xf>
    <xf numFmtId="11" fontId="0" fillId="2" borderId="16" xfId="0" applyNumberFormat="1" applyFill="1" applyBorder="1" applyAlignment="1">
      <alignment horizontal="centerContinuous"/>
    </xf>
    <xf numFmtId="0" fontId="3" fillId="0" borderId="8" xfId="0" applyFont="1" applyFill="1" applyBorder="1" applyAlignment="1">
      <alignment horizontal="centerContinuous"/>
    </xf>
    <xf numFmtId="0" fontId="0" fillId="0" borderId="0" xfId="0" applyFill="1" applyBorder="1" applyAlignment="1">
      <alignment horizontal="centerContinuous"/>
    </xf>
    <xf numFmtId="11" fontId="0" fillId="0" borderId="0" xfId="0" applyNumberFormat="1" applyFill="1" applyBorder="1" applyAlignment="1">
      <alignment horizontal="centerContinuous"/>
    </xf>
    <xf numFmtId="0" fontId="0" fillId="0" borderId="9" xfId="0" applyFill="1" applyBorder="1" applyAlignment="1">
      <alignment horizontal="centerContinuous"/>
    </xf>
    <xf numFmtId="164" fontId="0" fillId="0" borderId="0" xfId="0" applyNumberFormat="1" applyBorder="1" applyAlignment="1">
      <alignment/>
    </xf>
    <xf numFmtId="0" fontId="1" fillId="0" borderId="8" xfId="0" applyFont="1" applyBorder="1" applyAlignment="1">
      <alignment horizontal="right"/>
    </xf>
    <xf numFmtId="10" fontId="0" fillId="0" borderId="0" xfId="0" applyNumberFormat="1" applyBorder="1" applyAlignment="1">
      <alignment/>
    </xf>
    <xf numFmtId="0" fontId="1" fillId="0" borderId="8" xfId="0" applyFont="1" applyBorder="1" applyAlignment="1">
      <alignment horizontal="left"/>
    </xf>
    <xf numFmtId="0" fontId="0" fillId="0" borderId="10" xfId="0" applyBorder="1" applyAlignment="1">
      <alignment horizontal="right"/>
    </xf>
    <xf numFmtId="1" fontId="6" fillId="0" borderId="29" xfId="0" applyNumberFormat="1" applyFont="1" applyBorder="1" applyAlignment="1">
      <alignment horizontal="right"/>
    </xf>
    <xf numFmtId="164" fontId="6" fillId="0" borderId="29" xfId="0" applyNumberFormat="1" applyFont="1" applyBorder="1" applyAlignment="1">
      <alignment/>
    </xf>
    <xf numFmtId="0" fontId="3" fillId="0" borderId="0" xfId="0" applyFont="1" applyBorder="1" applyAlignment="1">
      <alignment/>
    </xf>
    <xf numFmtId="11" fontId="0" fillId="3" borderId="1" xfId="0" applyNumberFormat="1" applyFill="1" applyBorder="1" applyAlignment="1">
      <alignment/>
    </xf>
    <xf numFmtId="1" fontId="0" fillId="0" borderId="1" xfId="0" applyNumberFormat="1" applyBorder="1" applyAlignment="1">
      <alignment horizontal="right"/>
    </xf>
    <xf numFmtId="0" fontId="8" fillId="2" borderId="16" xfId="0" applyFont="1" applyFill="1" applyBorder="1" applyAlignment="1">
      <alignment horizontal="centerContinuous"/>
    </xf>
    <xf numFmtId="0" fontId="0" fillId="0" borderId="5" xfId="0" applyBorder="1" applyAlignment="1">
      <alignment/>
    </xf>
    <xf numFmtId="0" fontId="3" fillId="0" borderId="5" xfId="0" applyFont="1" applyBorder="1" applyAlignment="1">
      <alignment/>
    </xf>
    <xf numFmtId="0" fontId="1" fillId="0" borderId="24" xfId="0" applyFont="1" applyBorder="1" applyAlignment="1">
      <alignment horizontal="right"/>
    </xf>
    <xf numFmtId="0" fontId="0" fillId="0" borderId="8" xfId="0" applyBorder="1" applyAlignment="1">
      <alignment horizontal="right"/>
    </xf>
    <xf numFmtId="164" fontId="0" fillId="0" borderId="30" xfId="0" applyNumberFormat="1" applyBorder="1" applyAlignment="1">
      <alignment/>
    </xf>
    <xf numFmtId="164" fontId="0" fillId="0" borderId="31" xfId="0" applyNumberFormat="1" applyBorder="1" applyAlignment="1">
      <alignment/>
    </xf>
    <xf numFmtId="164" fontId="1" fillId="3" borderId="1" xfId="0" applyNumberFormat="1" applyFont="1" applyFill="1" applyBorder="1" applyAlignment="1">
      <alignment horizontal="right"/>
    </xf>
    <xf numFmtId="0" fontId="0" fillId="0" borderId="1" xfId="0" applyBorder="1" applyAlignment="1">
      <alignment horizontal="left"/>
    </xf>
    <xf numFmtId="0" fontId="1" fillId="0" borderId="32" xfId="0" applyFont="1" applyBorder="1" applyAlignment="1">
      <alignment horizontal="left"/>
    </xf>
    <xf numFmtId="10" fontId="0" fillId="0" borderId="33" xfId="0" applyNumberFormat="1" applyBorder="1" applyAlignment="1">
      <alignment horizontal="right" vertical="center"/>
    </xf>
    <xf numFmtId="10" fontId="0" fillId="0" borderId="32" xfId="0" applyNumberFormat="1" applyBorder="1" applyAlignment="1">
      <alignment vertical="center"/>
    </xf>
    <xf numFmtId="0" fontId="0" fillId="0" borderId="0" xfId="0" applyFill="1" applyBorder="1" applyAlignment="1">
      <alignment/>
    </xf>
    <xf numFmtId="0" fontId="1" fillId="0" borderId="7" xfId="0" applyFont="1" applyBorder="1" applyAlignment="1">
      <alignment horizontal="left"/>
    </xf>
    <xf numFmtId="10" fontId="0" fillId="0" borderId="7" xfId="0" applyNumberFormat="1" applyBorder="1" applyAlignment="1">
      <alignment horizontal="right" vertical="center"/>
    </xf>
    <xf numFmtId="10" fontId="0" fillId="0" borderId="7" xfId="0" applyNumberFormat="1" applyBorder="1" applyAlignment="1">
      <alignment vertical="center"/>
    </xf>
    <xf numFmtId="10" fontId="0" fillId="0" borderId="0" xfId="0" applyNumberFormat="1" applyBorder="1" applyAlignment="1">
      <alignment vertical="center"/>
    </xf>
    <xf numFmtId="0" fontId="0" fillId="0" borderId="1" xfId="0" applyFont="1" applyBorder="1" applyAlignment="1">
      <alignment horizontal="right"/>
    </xf>
    <xf numFmtId="10" fontId="0" fillId="0" borderId="1" xfId="0" applyNumberFormat="1" applyBorder="1" applyAlignment="1">
      <alignment/>
    </xf>
    <xf numFmtId="164" fontId="1" fillId="0" borderId="1" xfId="0" applyNumberFormat="1" applyFont="1" applyBorder="1" applyAlignment="1">
      <alignment horizontal="right"/>
    </xf>
    <xf numFmtId="0" fontId="1" fillId="3" borderId="1" xfId="0" applyNumberFormat="1" applyFont="1" applyFill="1" applyBorder="1" applyAlignment="1">
      <alignment horizontal="right"/>
    </xf>
    <xf numFmtId="164" fontId="6" fillId="0" borderId="34" xfId="0" applyNumberFormat="1" applyFont="1" applyBorder="1" applyAlignment="1">
      <alignment/>
    </xf>
    <xf numFmtId="167" fontId="0" fillId="0" borderId="0" xfId="0" applyNumberFormat="1" applyBorder="1" applyAlignment="1">
      <alignment/>
    </xf>
    <xf numFmtId="0" fontId="1" fillId="0" borderId="4" xfId="0" applyFont="1" applyBorder="1" applyAlignment="1">
      <alignment horizontal="right"/>
    </xf>
    <xf numFmtId="0" fontId="0" fillId="3" borderId="28" xfId="0" applyNumberFormat="1" applyFill="1" applyBorder="1" applyAlignment="1">
      <alignment horizontal="right"/>
    </xf>
    <xf numFmtId="0" fontId="0" fillId="0" borderId="4" xfId="0" applyBorder="1" applyAlignment="1">
      <alignment horizontal="left"/>
    </xf>
    <xf numFmtId="0" fontId="6" fillId="0" borderId="1" xfId="0" applyFont="1" applyBorder="1" applyAlignment="1">
      <alignment horizontal="right"/>
    </xf>
    <xf numFmtId="0" fontId="6" fillId="0" borderId="5" xfId="0" applyFont="1" applyBorder="1" applyAlignment="1">
      <alignment horizontal="right"/>
    </xf>
    <xf numFmtId="0" fontId="1" fillId="0" borderId="35" xfId="0" applyFont="1" applyBorder="1" applyAlignment="1">
      <alignment/>
    </xf>
    <xf numFmtId="0" fontId="1" fillId="0" borderId="36" xfId="0" applyFont="1" applyBorder="1" applyAlignment="1">
      <alignment/>
    </xf>
    <xf numFmtId="0" fontId="0" fillId="0" borderId="37" xfId="0" applyBorder="1" applyAlignment="1">
      <alignment horizontal="right"/>
    </xf>
    <xf numFmtId="164" fontId="0" fillId="0" borderId="38" xfId="0" applyNumberFormat="1" applyBorder="1" applyAlignment="1">
      <alignment/>
    </xf>
    <xf numFmtId="0" fontId="0" fillId="0" borderId="39" xfId="0" applyBorder="1" applyAlignment="1">
      <alignment/>
    </xf>
    <xf numFmtId="0" fontId="1" fillId="0" borderId="25" xfId="0" applyFont="1" applyBorder="1" applyAlignment="1">
      <alignment/>
    </xf>
    <xf numFmtId="0" fontId="0" fillId="0" borderId="40" xfId="0" applyBorder="1" applyAlignment="1">
      <alignment horizontal="right"/>
    </xf>
    <xf numFmtId="164" fontId="0" fillId="0" borderId="41" xfId="0" applyNumberFormat="1" applyBorder="1" applyAlignment="1">
      <alignment/>
    </xf>
    <xf numFmtId="0" fontId="0" fillId="0" borderId="34" xfId="0" applyBorder="1" applyAlignment="1">
      <alignment/>
    </xf>
    <xf numFmtId="0" fontId="1" fillId="0" borderId="9" xfId="0" applyFont="1" applyBorder="1" applyAlignment="1">
      <alignment/>
    </xf>
    <xf numFmtId="166" fontId="0" fillId="0" borderId="20" xfId="0" applyNumberFormat="1" applyBorder="1" applyAlignment="1">
      <alignment/>
    </xf>
    <xf numFmtId="164" fontId="0" fillId="0" borderId="20" xfId="0" applyNumberFormat="1" applyBorder="1" applyAlignment="1">
      <alignment/>
    </xf>
    <xf numFmtId="164" fontId="1" fillId="0" borderId="0" xfId="0" applyNumberFormat="1" applyFont="1" applyBorder="1" applyAlignment="1">
      <alignment horizontal="right"/>
    </xf>
    <xf numFmtId="0" fontId="0" fillId="0" borderId="0" xfId="0" applyBorder="1" applyAlignment="1">
      <alignment horizontal="left"/>
    </xf>
    <xf numFmtId="0" fontId="1" fillId="0" borderId="42" xfId="0" applyFont="1" applyBorder="1" applyAlignment="1">
      <alignment/>
    </xf>
    <xf numFmtId="0" fontId="0" fillId="0" borderId="43" xfId="0" applyBorder="1" applyAlignment="1">
      <alignment horizontal="right"/>
    </xf>
    <xf numFmtId="0" fontId="0" fillId="0" borderId="44" xfId="0" applyBorder="1" applyAlignment="1">
      <alignment/>
    </xf>
    <xf numFmtId="0" fontId="0" fillId="0" borderId="42" xfId="0" applyBorder="1" applyAlignment="1">
      <alignment/>
    </xf>
    <xf numFmtId="0" fontId="2" fillId="2" borderId="28" xfId="0" applyFont="1" applyFill="1" applyBorder="1" applyAlignment="1">
      <alignment horizontal="centerContinuous"/>
    </xf>
    <xf numFmtId="11" fontId="0" fillId="2" borderId="28" xfId="0" applyNumberFormat="1" applyFill="1" applyBorder="1" applyAlignment="1">
      <alignment horizontal="centerContinuous"/>
    </xf>
    <xf numFmtId="0" fontId="0" fillId="2" borderId="28" xfId="0" applyFill="1" applyBorder="1" applyAlignment="1">
      <alignment horizontal="centerContinuous"/>
    </xf>
    <xf numFmtId="0" fontId="1" fillId="0" borderId="9" xfId="0" applyFont="1" applyBorder="1" applyAlignment="1">
      <alignment horizontal="left"/>
    </xf>
    <xf numFmtId="0" fontId="1" fillId="0" borderId="45" xfId="0" applyFont="1" applyBorder="1" applyAlignment="1">
      <alignment/>
    </xf>
    <xf numFmtId="0" fontId="0" fillId="0" borderId="46" xfId="0" applyBorder="1" applyAlignment="1">
      <alignment horizontal="right"/>
    </xf>
    <xf numFmtId="0" fontId="0" fillId="0" borderId="47" xfId="0" applyBorder="1" applyAlignment="1">
      <alignment/>
    </xf>
    <xf numFmtId="0" fontId="0" fillId="0" borderId="45" xfId="0" applyBorder="1" applyAlignment="1">
      <alignment/>
    </xf>
    <xf numFmtId="0" fontId="0" fillId="3" borderId="1" xfId="0" applyFill="1" applyBorder="1" applyAlignment="1">
      <alignment horizontal="right"/>
    </xf>
    <xf numFmtId="10" fontId="0" fillId="0" borderId="32" xfId="0" applyNumberFormat="1" applyBorder="1" applyAlignment="1">
      <alignment horizontal="right" vertical="center"/>
    </xf>
    <xf numFmtId="0" fontId="0" fillId="0" borderId="32" xfId="0" applyBorder="1" applyAlignment="1">
      <alignment/>
    </xf>
    <xf numFmtId="0" fontId="6" fillId="0" borderId="48" xfId="0" applyFont="1" applyBorder="1" applyAlignment="1">
      <alignment horizontal="center"/>
    </xf>
    <xf numFmtId="0" fontId="6" fillId="0" borderId="49" xfId="0" applyFont="1" applyBorder="1" applyAlignment="1">
      <alignment horizontal="right"/>
    </xf>
    <xf numFmtId="11" fontId="0" fillId="0" borderId="1" xfId="0" applyNumberFormat="1" applyFont="1" applyBorder="1" applyAlignment="1">
      <alignment/>
    </xf>
    <xf numFmtId="164" fontId="0" fillId="0" borderId="0" xfId="0" applyNumberFormat="1" applyFill="1" applyBorder="1" applyAlignment="1">
      <alignment horizontal="center"/>
    </xf>
    <xf numFmtId="167" fontId="0" fillId="0" borderId="0" xfId="0" applyNumberFormat="1" applyBorder="1" applyAlignment="1">
      <alignment horizontal="center"/>
    </xf>
    <xf numFmtId="167" fontId="0" fillId="0" borderId="0" xfId="0" applyNumberFormat="1" applyFont="1" applyBorder="1" applyAlignment="1">
      <alignment horizontal="center"/>
    </xf>
    <xf numFmtId="49" fontId="0" fillId="0" borderId="0" xfId="0" applyNumberFormat="1" applyBorder="1" applyAlignment="1">
      <alignment/>
    </xf>
    <xf numFmtId="0" fontId="0" fillId="0" borderId="0" xfId="0" applyBorder="1" applyAlignment="1">
      <alignment/>
    </xf>
    <xf numFmtId="0" fontId="0" fillId="0" borderId="0" xfId="0" applyFont="1" applyBorder="1" applyAlignment="1">
      <alignment/>
    </xf>
    <xf numFmtId="164" fontId="0" fillId="0" borderId="0" xfId="0" applyNumberFormat="1" applyBorder="1" applyAlignment="1">
      <alignment horizontal="center"/>
    </xf>
    <xf numFmtId="49" fontId="10" fillId="0" borderId="0" xfId="0" applyNumberFormat="1" applyFont="1" applyBorder="1" applyAlignment="1">
      <alignment horizontal="right"/>
    </xf>
    <xf numFmtId="164" fontId="0" fillId="0" borderId="0" xfId="0" applyNumberFormat="1" applyFont="1" applyBorder="1" applyAlignment="1">
      <alignment horizontal="center"/>
    </xf>
    <xf numFmtId="0" fontId="0" fillId="0" borderId="0" xfId="0" applyFont="1" applyFill="1" applyBorder="1" applyAlignment="1">
      <alignment/>
    </xf>
    <xf numFmtId="0" fontId="0" fillId="0" borderId="0" xfId="0" applyFont="1" applyBorder="1" applyAlignment="1">
      <alignment horizontal="right"/>
    </xf>
    <xf numFmtId="49" fontId="9" fillId="0" borderId="0" xfId="0" applyNumberFormat="1" applyFont="1" applyBorder="1" applyAlignment="1">
      <alignment horizontal="right"/>
    </xf>
    <xf numFmtId="164" fontId="0" fillId="0" borderId="0" xfId="0" applyNumberFormat="1" applyBorder="1" applyAlignment="1">
      <alignment horizontal="right"/>
    </xf>
    <xf numFmtId="0" fontId="3" fillId="0" borderId="8" xfId="0" applyFont="1" applyBorder="1" applyAlignment="1">
      <alignment/>
    </xf>
    <xf numFmtId="164" fontId="0" fillId="0" borderId="0" xfId="0" applyNumberFormat="1" applyFill="1" applyBorder="1" applyAlignment="1">
      <alignment/>
    </xf>
    <xf numFmtId="0" fontId="0" fillId="0" borderId="8" xfId="0" applyFont="1" applyBorder="1" applyAlignment="1">
      <alignment horizontal="left"/>
    </xf>
    <xf numFmtId="0" fontId="9" fillId="0" borderId="0" xfId="0" applyFont="1" applyBorder="1" applyAlignment="1">
      <alignment horizontal="right"/>
    </xf>
    <xf numFmtId="167" fontId="0" fillId="0" borderId="0" xfId="0" applyNumberFormat="1" applyAlignment="1">
      <alignment/>
    </xf>
    <xf numFmtId="0" fontId="0" fillId="0" borderId="8" xfId="0" applyFont="1" applyBorder="1" applyAlignment="1">
      <alignment/>
    </xf>
    <xf numFmtId="49" fontId="0" fillId="0" borderId="0" xfId="0" applyNumberFormat="1" applyFont="1" applyBorder="1" applyAlignment="1">
      <alignment horizontal="left"/>
    </xf>
    <xf numFmtId="0" fontId="0" fillId="0" borderId="12" xfId="0" applyFill="1" applyBorder="1" applyAlignment="1">
      <alignment/>
    </xf>
    <xf numFmtId="0" fontId="0" fillId="0" borderId="10" xfId="0" applyFill="1" applyBorder="1" applyAlignment="1">
      <alignment horizontal="right"/>
    </xf>
    <xf numFmtId="11" fontId="0" fillId="0" borderId="10" xfId="0" applyNumberFormat="1" applyFill="1" applyBorder="1" applyAlignment="1">
      <alignment/>
    </xf>
    <xf numFmtId="0" fontId="0" fillId="0" borderId="0" xfId="0" applyFill="1" applyBorder="1" applyAlignment="1">
      <alignment horizontal="right"/>
    </xf>
    <xf numFmtId="0" fontId="0" fillId="0" borderId="0" xfId="0" applyNumberFormat="1" applyFill="1" applyBorder="1" applyAlignment="1">
      <alignment/>
    </xf>
    <xf numFmtId="49" fontId="0" fillId="0" borderId="0" xfId="0" applyNumberFormat="1" applyFill="1" applyBorder="1" applyAlignment="1">
      <alignment/>
    </xf>
    <xf numFmtId="0" fontId="3" fillId="0" borderId="0" xfId="0" applyFont="1" applyFill="1" applyBorder="1" applyAlignment="1">
      <alignment/>
    </xf>
    <xf numFmtId="49" fontId="10" fillId="0" borderId="0" xfId="0" applyNumberFormat="1" applyFont="1" applyFill="1" applyBorder="1" applyAlignment="1">
      <alignment horizontal="right"/>
    </xf>
    <xf numFmtId="164" fontId="0" fillId="0" borderId="0" xfId="0" applyNumberFormat="1" applyFont="1" applyFill="1" applyBorder="1" applyAlignment="1">
      <alignment horizontal="center"/>
    </xf>
    <xf numFmtId="0" fontId="0" fillId="0" borderId="0" xfId="0" applyFont="1" applyFill="1" applyBorder="1" applyAlignment="1">
      <alignment horizontal="left"/>
    </xf>
    <xf numFmtId="49" fontId="0" fillId="0" borderId="0" xfId="0" applyNumberFormat="1" applyFont="1" applyFill="1" applyBorder="1" applyAlignment="1">
      <alignment horizontal="right"/>
    </xf>
    <xf numFmtId="164" fontId="0" fillId="0" borderId="0" xfId="0" applyNumberFormat="1" applyFill="1" applyBorder="1" applyAlignment="1">
      <alignment horizontal="right"/>
    </xf>
    <xf numFmtId="0" fontId="0" fillId="0" borderId="0" xfId="0" applyFont="1" applyFill="1" applyBorder="1" applyAlignment="1">
      <alignment horizontal="right"/>
    </xf>
    <xf numFmtId="0" fontId="9" fillId="0" borderId="0" xfId="0" applyFont="1" applyFill="1" applyBorder="1" applyAlignment="1">
      <alignment horizontal="right"/>
    </xf>
    <xf numFmtId="49" fontId="0" fillId="0" borderId="0" xfId="0" applyNumberFormat="1" applyFont="1" applyFill="1" applyBorder="1" applyAlignment="1">
      <alignment horizontal="left"/>
    </xf>
    <xf numFmtId="49" fontId="9" fillId="0" borderId="0" xfId="0" applyNumberFormat="1" applyFont="1" applyFill="1" applyBorder="1" applyAlignment="1">
      <alignment horizontal="right"/>
    </xf>
    <xf numFmtId="10" fontId="0" fillId="0" borderId="0" xfId="0" applyNumberFormat="1" applyFill="1" applyBorder="1" applyAlignment="1">
      <alignment/>
    </xf>
    <xf numFmtId="0" fontId="0" fillId="0" borderId="12" xfId="0" applyBorder="1" applyAlignment="1">
      <alignment/>
    </xf>
    <xf numFmtId="0" fontId="1" fillId="0" borderId="1" xfId="0" applyFont="1" applyFill="1" applyBorder="1" applyAlignment="1">
      <alignment horizontal="center"/>
    </xf>
    <xf numFmtId="0" fontId="1" fillId="4" borderId="1" xfId="0" applyFont="1" applyFill="1" applyBorder="1" applyAlignment="1">
      <alignment horizontal="center"/>
    </xf>
    <xf numFmtId="0" fontId="1" fillId="4" borderId="3" xfId="0" applyFont="1" applyFill="1" applyBorder="1" applyAlignment="1">
      <alignment horizontal="right"/>
    </xf>
    <xf numFmtId="11" fontId="1" fillId="4" borderId="6" xfId="0" applyNumberFormat="1" applyFont="1" applyFill="1" applyBorder="1" applyAlignment="1">
      <alignment/>
    </xf>
    <xf numFmtId="0" fontId="1" fillId="4" borderId="2" xfId="0" applyFont="1" applyFill="1" applyBorder="1" applyAlignment="1">
      <alignment/>
    </xf>
    <xf numFmtId="0" fontId="1" fillId="4" borderId="0" xfId="0" applyFont="1" applyFill="1" applyBorder="1" applyAlignment="1">
      <alignment horizontal="right"/>
    </xf>
    <xf numFmtId="0" fontId="0" fillId="4" borderId="0" xfId="0" applyFill="1" applyAlignment="1">
      <alignment/>
    </xf>
    <xf numFmtId="0" fontId="1" fillId="4" borderId="0" xfId="0" applyFont="1" applyFill="1" applyBorder="1" applyAlignment="1">
      <alignment/>
    </xf>
    <xf numFmtId="0" fontId="1" fillId="4" borderId="8" xfId="0" applyFont="1" applyFill="1" applyBorder="1" applyAlignment="1">
      <alignment/>
    </xf>
    <xf numFmtId="0" fontId="0" fillId="4" borderId="0" xfId="0" applyFill="1" applyBorder="1" applyAlignment="1">
      <alignment/>
    </xf>
    <xf numFmtId="0" fontId="0" fillId="4" borderId="9" xfId="0" applyFill="1" applyBorder="1" applyAlignment="1">
      <alignment/>
    </xf>
    <xf numFmtId="0" fontId="0" fillId="4" borderId="10" xfId="0" applyFill="1" applyBorder="1" applyAlignment="1">
      <alignment/>
    </xf>
    <xf numFmtId="0" fontId="0" fillId="4" borderId="11" xfId="0" applyFill="1" applyBorder="1" applyAlignment="1">
      <alignment/>
    </xf>
    <xf numFmtId="0" fontId="4" fillId="0" borderId="0" xfId="0" applyFont="1" applyAlignment="1">
      <alignment horizontal="center"/>
    </xf>
    <xf numFmtId="0" fontId="1" fillId="0" borderId="0" xfId="0" applyFont="1" applyBorder="1" applyAlignment="1">
      <alignment horizontal="right"/>
    </xf>
    <xf numFmtId="0" fontId="1" fillId="0" borderId="9" xfId="0" applyFont="1" applyFill="1" applyBorder="1" applyAlignment="1">
      <alignment horizontal="center"/>
    </xf>
    <xf numFmtId="164" fontId="1" fillId="0" borderId="9" xfId="0" applyNumberFormat="1" applyFont="1" applyFill="1" applyBorder="1" applyAlignment="1">
      <alignment horizontal="center"/>
    </xf>
    <xf numFmtId="10" fontId="1" fillId="0" borderId="0" xfId="0" applyNumberFormat="1" applyFont="1" applyBorder="1" applyAlignment="1">
      <alignment/>
    </xf>
    <xf numFmtId="0" fontId="1" fillId="0" borderId="10" xfId="0" applyFont="1" applyBorder="1" applyAlignment="1">
      <alignment horizontal="right"/>
    </xf>
    <xf numFmtId="11" fontId="1" fillId="0" borderId="10" xfId="0" applyNumberFormat="1" applyFont="1" applyBorder="1" applyAlignment="1">
      <alignment/>
    </xf>
    <xf numFmtId="0" fontId="1" fillId="0" borderId="11" xfId="0" applyFont="1" applyFill="1" applyBorder="1" applyAlignment="1">
      <alignment horizontal="center"/>
    </xf>
    <xf numFmtId="0" fontId="3" fillId="0" borderId="0" xfId="0" applyFont="1" applyAlignment="1">
      <alignment horizontal="center"/>
    </xf>
    <xf numFmtId="0" fontId="0" fillId="0" borderId="0" xfId="0" applyAlignment="1">
      <alignment horizontal="left"/>
    </xf>
    <xf numFmtId="0" fontId="0" fillId="0" borderId="0" xfId="0" applyAlignment="1">
      <alignment horizontal="center"/>
    </xf>
    <xf numFmtId="0" fontId="3" fillId="0" borderId="0" xfId="0" applyFont="1" applyAlignment="1">
      <alignment/>
    </xf>
    <xf numFmtId="0" fontId="0" fillId="0" borderId="0" xfId="0" applyAlignment="1">
      <alignment horizontal="center" wrapText="1"/>
    </xf>
    <xf numFmtId="168" fontId="0" fillId="0" borderId="0" xfId="0" applyNumberFormat="1" applyAlignment="1">
      <alignment horizontal="center"/>
    </xf>
    <xf numFmtId="1" fontId="0" fillId="0" borderId="0" xfId="0" applyNumberFormat="1" applyAlignment="1">
      <alignment horizontal="center"/>
    </xf>
    <xf numFmtId="2" fontId="0" fillId="0" borderId="0" xfId="0" applyNumberFormat="1" applyAlignment="1">
      <alignment horizontal="center"/>
    </xf>
    <xf numFmtId="10" fontId="0" fillId="0" borderId="0" xfId="0" applyNumberFormat="1" applyAlignment="1">
      <alignment horizontal="center"/>
    </xf>
    <xf numFmtId="10" fontId="1" fillId="0" borderId="0" xfId="0" applyNumberFormat="1" applyFont="1" applyAlignment="1">
      <alignment/>
    </xf>
    <xf numFmtId="0" fontId="1" fillId="0" borderId="0" xfId="0" applyFont="1" applyFill="1" applyBorder="1" applyAlignment="1">
      <alignment/>
    </xf>
    <xf numFmtId="0" fontId="3" fillId="0" borderId="0" xfId="0" applyFont="1" applyFill="1" applyBorder="1" applyAlignment="1">
      <alignment horizontal="centerContinuous"/>
    </xf>
    <xf numFmtId="0" fontId="1" fillId="0" borderId="0" xfId="0" applyFont="1" applyFill="1" applyBorder="1" applyAlignment="1">
      <alignment horizontal="center"/>
    </xf>
    <xf numFmtId="164" fontId="1" fillId="0" borderId="0" xfId="0" applyNumberFormat="1" applyFont="1" applyFill="1" applyBorder="1" applyAlignment="1">
      <alignment/>
    </xf>
    <xf numFmtId="11" fontId="1" fillId="0" borderId="0" xfId="0" applyNumberFormat="1" applyFont="1" applyFill="1" applyBorder="1" applyAlignment="1">
      <alignment/>
    </xf>
    <xf numFmtId="164" fontId="1" fillId="0" borderId="0" xfId="0" applyNumberFormat="1" applyFont="1" applyFill="1" applyBorder="1" applyAlignment="1">
      <alignment horizontal="center"/>
    </xf>
    <xf numFmtId="0" fontId="2" fillId="0" borderId="0" xfId="0" applyFont="1" applyFill="1" applyBorder="1" applyAlignment="1">
      <alignment horizontal="centerContinuous"/>
    </xf>
    <xf numFmtId="0" fontId="1" fillId="0" borderId="0" xfId="0" applyFont="1" applyFill="1" applyBorder="1" applyAlignment="1">
      <alignment horizontal="center" wrapText="1"/>
    </xf>
    <xf numFmtId="0" fontId="1" fillId="0" borderId="0" xfId="0" applyFont="1" applyFill="1" applyBorder="1" applyAlignment="1">
      <alignment horizontal="right"/>
    </xf>
    <xf numFmtId="0" fontId="1" fillId="0" borderId="0" xfId="0" applyFont="1" applyFill="1" applyBorder="1" applyAlignment="1">
      <alignment horizontal="right" wrapText="1"/>
    </xf>
    <xf numFmtId="10" fontId="1" fillId="0" borderId="0" xfId="0" applyNumberFormat="1" applyFont="1" applyFill="1" applyBorder="1" applyAlignment="1">
      <alignment/>
    </xf>
    <xf numFmtId="0" fontId="1" fillId="0" borderId="0" xfId="0" applyFont="1" applyFill="1" applyBorder="1" applyAlignment="1">
      <alignment horizontal="left"/>
    </xf>
    <xf numFmtId="0" fontId="0" fillId="0" borderId="0" xfId="0" applyFill="1" applyAlignment="1">
      <alignment/>
    </xf>
    <xf numFmtId="0" fontId="0" fillId="4" borderId="8" xfId="0" applyFill="1" applyBorder="1" applyAlignment="1">
      <alignment/>
    </xf>
    <xf numFmtId="0" fontId="1" fillId="2" borderId="17" xfId="0" applyFont="1" applyFill="1" applyBorder="1" applyAlignment="1">
      <alignment horizontal="centerContinuous"/>
    </xf>
    <xf numFmtId="0" fontId="4" fillId="4" borderId="13" xfId="0" applyFont="1" applyFill="1" applyBorder="1" applyAlignment="1">
      <alignment/>
    </xf>
    <xf numFmtId="0" fontId="5" fillId="4" borderId="7" xfId="0" applyFont="1" applyFill="1" applyBorder="1" applyAlignment="1">
      <alignment horizontal="center"/>
    </xf>
    <xf numFmtId="0" fontId="4" fillId="4" borderId="7" xfId="0" applyFont="1" applyFill="1" applyBorder="1" applyAlignment="1">
      <alignment/>
    </xf>
    <xf numFmtId="0" fontId="4" fillId="4" borderId="3" xfId="0" applyFont="1" applyFill="1" applyBorder="1" applyAlignment="1">
      <alignment/>
    </xf>
    <xf numFmtId="0" fontId="5" fillId="4" borderId="6" xfId="0" applyFont="1" applyFill="1" applyBorder="1" applyAlignment="1">
      <alignment horizontal="center"/>
    </xf>
    <xf numFmtId="0" fontId="4" fillId="4" borderId="6" xfId="0" applyFont="1" applyFill="1" applyBorder="1" applyAlignment="1">
      <alignment/>
    </xf>
    <xf numFmtId="0" fontId="4" fillId="4" borderId="2" xfId="0" applyFont="1" applyFill="1" applyBorder="1" applyAlignment="1">
      <alignment/>
    </xf>
    <xf numFmtId="0" fontId="0" fillId="4" borderId="12" xfId="0" applyFill="1" applyBorder="1" applyAlignment="1">
      <alignment/>
    </xf>
    <xf numFmtId="0" fontId="0" fillId="0" borderId="0" xfId="0" applyAlignment="1">
      <alignment wrapText="1"/>
    </xf>
    <xf numFmtId="0" fontId="1" fillId="0" borderId="0" xfId="0" applyNumberFormat="1" applyFont="1" applyBorder="1" applyAlignment="1">
      <alignment/>
    </xf>
    <xf numFmtId="0" fontId="1" fillId="2" borderId="15" xfId="0" applyFont="1" applyFill="1" applyBorder="1" applyAlignment="1">
      <alignment horizontal="right"/>
    </xf>
    <xf numFmtId="0" fontId="1" fillId="2" borderId="16" xfId="0" applyNumberFormat="1" applyFont="1" applyFill="1" applyBorder="1" applyAlignment="1">
      <alignment/>
    </xf>
    <xf numFmtId="0" fontId="1" fillId="2" borderId="16" xfId="0" applyFont="1" applyFill="1" applyBorder="1" applyAlignment="1">
      <alignment/>
    </xf>
    <xf numFmtId="0" fontId="0" fillId="2" borderId="16" xfId="0" applyFill="1" applyBorder="1" applyAlignment="1">
      <alignment/>
    </xf>
    <xf numFmtId="0" fontId="3" fillId="2" borderId="16" xfId="0" applyFont="1" applyFill="1" applyBorder="1" applyAlignment="1">
      <alignment/>
    </xf>
    <xf numFmtId="0" fontId="0" fillId="2" borderId="17" xfId="0" applyFill="1" applyBorder="1" applyAlignment="1">
      <alignment/>
    </xf>
    <xf numFmtId="11" fontId="0" fillId="0" borderId="9" xfId="0" applyNumberFormat="1" applyBorder="1" applyAlignment="1">
      <alignment/>
    </xf>
    <xf numFmtId="164" fontId="0" fillId="0" borderId="0" xfId="0" applyNumberFormat="1" applyBorder="1" applyAlignment="1">
      <alignment/>
    </xf>
    <xf numFmtId="11" fontId="0" fillId="0" borderId="10" xfId="0" applyNumberFormat="1" applyBorder="1" applyAlignment="1">
      <alignment/>
    </xf>
    <xf numFmtId="164" fontId="0" fillId="0" borderId="10" xfId="0" applyNumberFormat="1" applyBorder="1" applyAlignment="1">
      <alignment/>
    </xf>
    <xf numFmtId="164" fontId="0" fillId="0" borderId="10" xfId="0" applyNumberFormat="1" applyBorder="1" applyAlignment="1">
      <alignment/>
    </xf>
    <xf numFmtId="0" fontId="0" fillId="0" borderId="0" xfId="0" applyBorder="1" applyAlignment="1">
      <alignment horizontal="center"/>
    </xf>
    <xf numFmtId="0" fontId="0" fillId="0" borderId="10" xfId="0" applyBorder="1" applyAlignment="1">
      <alignment horizontal="center"/>
    </xf>
    <xf numFmtId="11" fontId="0" fillId="5" borderId="0" xfId="0" applyNumberFormat="1" applyFill="1" applyBorder="1" applyAlignment="1">
      <alignment horizontal="center"/>
    </xf>
    <xf numFmtId="11" fontId="0" fillId="5" borderId="10" xfId="0" applyNumberFormat="1" applyFill="1" applyBorder="1" applyAlignment="1">
      <alignment horizontal="center"/>
    </xf>
    <xf numFmtId="10" fontId="0" fillId="0" borderId="0" xfId="0" applyNumberFormat="1" applyFill="1" applyBorder="1" applyAlignment="1">
      <alignment horizontal="center"/>
    </xf>
    <xf numFmtId="11" fontId="0" fillId="0" borderId="0" xfId="0" applyNumberFormat="1" applyFill="1" applyBorder="1" applyAlignment="1">
      <alignment horizontal="center"/>
    </xf>
    <xf numFmtId="0" fontId="2" fillId="2" borderId="4" xfId="0" applyFont="1" applyFill="1" applyBorder="1" applyAlignment="1">
      <alignment horizontal="centerContinuous"/>
    </xf>
    <xf numFmtId="0" fontId="1" fillId="2" borderId="4" xfId="0" applyFont="1" applyFill="1" applyBorder="1" applyAlignment="1">
      <alignment horizontal="centerContinuous"/>
    </xf>
    <xf numFmtId="164" fontId="0" fillId="2" borderId="4" xfId="0" applyNumberFormat="1" applyFill="1" applyBorder="1" applyAlignment="1">
      <alignment horizontal="centerContinuous"/>
    </xf>
    <xf numFmtId="11" fontId="0" fillId="0" borderId="0" xfId="0" applyNumberFormat="1" applyFill="1" applyAlignment="1">
      <alignment/>
    </xf>
    <xf numFmtId="10" fontId="0" fillId="0" borderId="0" xfId="0" applyNumberFormat="1" applyFill="1" applyAlignment="1">
      <alignment/>
    </xf>
    <xf numFmtId="166" fontId="0" fillId="0" borderId="0" xfId="0" applyNumberFormat="1" applyBorder="1" applyAlignment="1">
      <alignment horizontal="center"/>
    </xf>
    <xf numFmtId="166" fontId="0" fillId="0" borderId="0" xfId="0" applyNumberFormat="1" applyFont="1" applyBorder="1" applyAlignment="1">
      <alignment horizontal="center"/>
    </xf>
    <xf numFmtId="166" fontId="0" fillId="0" borderId="10" xfId="0" applyNumberFormat="1" applyFont="1" applyBorder="1" applyAlignment="1">
      <alignment horizontal="center"/>
    </xf>
    <xf numFmtId="166" fontId="0" fillId="0" borderId="10" xfId="0" applyNumberFormat="1" applyBorder="1" applyAlignment="1">
      <alignment horizontal="center"/>
    </xf>
    <xf numFmtId="11" fontId="0" fillId="0" borderId="0" xfId="0" applyNumberFormat="1" applyBorder="1" applyAlignment="1">
      <alignment horizontal="center"/>
    </xf>
    <xf numFmtId="164" fontId="1" fillId="0" borderId="0" xfId="0" applyNumberFormat="1" applyFont="1" applyBorder="1" applyAlignment="1">
      <alignment horizontal="center"/>
    </xf>
    <xf numFmtId="10" fontId="0" fillId="0" borderId="0" xfId="0" applyNumberFormat="1" applyBorder="1" applyAlignment="1">
      <alignment horizontal="center"/>
    </xf>
    <xf numFmtId="11" fontId="0" fillId="0" borderId="9" xfId="0" applyNumberFormat="1" applyBorder="1" applyAlignment="1">
      <alignment horizontal="center"/>
    </xf>
    <xf numFmtId="0" fontId="0" fillId="0" borderId="9" xfId="0" applyBorder="1" applyAlignment="1">
      <alignment horizontal="center"/>
    </xf>
    <xf numFmtId="11" fontId="0" fillId="0" borderId="10" xfId="0" applyNumberFormat="1" applyBorder="1" applyAlignment="1">
      <alignment horizontal="center"/>
    </xf>
    <xf numFmtId="169" fontId="0" fillId="5" borderId="0" xfId="0" applyNumberFormat="1" applyFill="1" applyBorder="1" applyAlignment="1">
      <alignment horizontal="center"/>
    </xf>
    <xf numFmtId="169" fontId="0" fillId="5" borderId="10" xfId="0" applyNumberFormat="1" applyFill="1" applyBorder="1" applyAlignment="1">
      <alignment horizontal="center"/>
    </xf>
    <xf numFmtId="169" fontId="0" fillId="0" borderId="0" xfId="0" applyNumberFormat="1" applyFill="1" applyBorder="1" applyAlignment="1">
      <alignment horizontal="center"/>
    </xf>
    <xf numFmtId="169" fontId="0" fillId="0" borderId="0" xfId="0" applyNumberFormat="1" applyBorder="1" applyAlignment="1">
      <alignment horizontal="center"/>
    </xf>
    <xf numFmtId="169" fontId="0" fillId="0" borderId="0" xfId="0" applyNumberFormat="1" applyAlignment="1">
      <alignment horizontal="center"/>
    </xf>
    <xf numFmtId="0" fontId="0" fillId="6" borderId="15" xfId="0" applyFont="1" applyFill="1" applyBorder="1" applyAlignment="1">
      <alignment wrapText="1"/>
    </xf>
    <xf numFmtId="0" fontId="0" fillId="6" borderId="16" xfId="0" applyFont="1" applyFill="1" applyBorder="1" applyAlignment="1">
      <alignment horizontal="center" wrapText="1"/>
    </xf>
    <xf numFmtId="0" fontId="0" fillId="6" borderId="17" xfId="0" applyFont="1" applyFill="1" applyBorder="1" applyAlignment="1">
      <alignment horizontal="center" wrapText="1"/>
    </xf>
    <xf numFmtId="0" fontId="3" fillId="0" borderId="28" xfId="0" applyFont="1" applyBorder="1" applyAlignment="1">
      <alignment horizontal="center" vertical="justify" wrapText="1"/>
    </xf>
    <xf numFmtId="0" fontId="0" fillId="6" borderId="15" xfId="0" applyFill="1" applyBorder="1" applyAlignment="1">
      <alignment wrapText="1"/>
    </xf>
    <xf numFmtId="0" fontId="0" fillId="6" borderId="16" xfId="0" applyFill="1" applyBorder="1" applyAlignment="1">
      <alignment horizontal="center" wrapText="1"/>
    </xf>
    <xf numFmtId="0" fontId="0" fillId="6" borderId="17" xfId="0" applyFill="1" applyBorder="1" applyAlignment="1">
      <alignment horizontal="center" wrapText="1"/>
    </xf>
    <xf numFmtId="0" fontId="0" fillId="6" borderId="16" xfId="0" applyFill="1" applyBorder="1" applyAlignment="1">
      <alignment wrapText="1"/>
    </xf>
    <xf numFmtId="0" fontId="0" fillId="6" borderId="17" xfId="0" applyFill="1" applyBorder="1" applyAlignment="1">
      <alignment wrapText="1"/>
    </xf>
    <xf numFmtId="0" fontId="11" fillId="0" borderId="0" xfId="0" applyNumberFormat="1" applyFont="1" applyAlignment="1" quotePrefix="1">
      <alignment horizontal="left"/>
    </xf>
    <xf numFmtId="0" fontId="12" fillId="0" borderId="0" xfId="0" applyFont="1" applyAlignment="1">
      <alignment/>
    </xf>
    <xf numFmtId="0" fontId="11" fillId="0" borderId="0" xfId="0" applyFont="1" applyAlignment="1">
      <alignment horizontal="right"/>
    </xf>
    <xf numFmtId="0" fontId="13" fillId="0" borderId="0" xfId="0" applyFont="1" applyAlignment="1">
      <alignment horizontal="center"/>
    </xf>
    <xf numFmtId="0" fontId="14" fillId="0" borderId="7" xfId="0" applyFont="1" applyBorder="1" applyAlignment="1">
      <alignment vertical="top" wrapText="1"/>
    </xf>
    <xf numFmtId="0" fontId="14" fillId="0" borderId="6" xfId="0" applyFont="1" applyBorder="1" applyAlignment="1">
      <alignment vertical="top" wrapText="1"/>
    </xf>
    <xf numFmtId="0" fontId="14" fillId="0" borderId="0" xfId="0" applyFont="1" applyAlignment="1">
      <alignment vertical="top" wrapText="1"/>
    </xf>
    <xf numFmtId="0" fontId="14" fillId="0" borderId="10" xfId="0" applyFont="1" applyBorder="1" applyAlignment="1">
      <alignment vertical="top" wrapText="1"/>
    </xf>
    <xf numFmtId="0" fontId="0" fillId="0" borderId="10" xfId="0" applyBorder="1" applyAlignment="1">
      <alignment vertical="top" wrapText="1"/>
    </xf>
    <xf numFmtId="0" fontId="14" fillId="0" borderId="0" xfId="0" applyFont="1" applyAlignment="1">
      <alignment horizontal="left"/>
    </xf>
    <xf numFmtId="0" fontId="0" fillId="0" borderId="0" xfId="0" applyAlignment="1">
      <alignment vertical="justify" wrapText="1"/>
    </xf>
    <xf numFmtId="0" fontId="0" fillId="0" borderId="24" xfId="0" applyBorder="1" applyAlignment="1">
      <alignment vertical="justify" wrapText="1"/>
    </xf>
    <xf numFmtId="0" fontId="0" fillId="0" borderId="5" xfId="0" applyBorder="1" applyAlignment="1">
      <alignment vertical="justify" wrapText="1"/>
    </xf>
    <xf numFmtId="0" fontId="0" fillId="0" borderId="28" xfId="0" applyBorder="1" applyAlignment="1">
      <alignment vertical="justify" wrapText="1"/>
    </xf>
    <xf numFmtId="0" fontId="1" fillId="7" borderId="1" xfId="0" applyFont="1" applyFill="1" applyBorder="1" applyAlignment="1">
      <alignment/>
    </xf>
    <xf numFmtId="0" fontId="1" fillId="7" borderId="1" xfId="0" applyFont="1" applyFill="1" applyBorder="1" applyAlignment="1">
      <alignment horizontal="center"/>
    </xf>
    <xf numFmtId="0" fontId="1" fillId="0" borderId="1" xfId="0" applyFont="1" applyFill="1" applyBorder="1" applyAlignment="1">
      <alignment/>
    </xf>
    <xf numFmtId="0" fontId="0" fillId="0" borderId="13" xfId="0" applyBorder="1" applyAlignment="1">
      <alignment/>
    </xf>
    <xf numFmtId="0" fontId="0" fillId="0" borderId="7" xfId="0" applyBorder="1" applyAlignment="1">
      <alignment horizontal="right"/>
    </xf>
    <xf numFmtId="0" fontId="0" fillId="0" borderId="7" xfId="0" applyBorder="1" applyAlignment="1">
      <alignment/>
    </xf>
    <xf numFmtId="0" fontId="0" fillId="0" borderId="14" xfId="0" applyBorder="1" applyAlignment="1">
      <alignment/>
    </xf>
    <xf numFmtId="0" fontId="0" fillId="0" borderId="0" xfId="0" applyFont="1" applyBorder="1" applyAlignment="1">
      <alignment horizontal="left"/>
    </xf>
    <xf numFmtId="11" fontId="0" fillId="2" borderId="1" xfId="0" applyNumberFormat="1" applyFill="1" applyBorder="1" applyAlignment="1">
      <alignment horizontal="centerContinuous"/>
    </xf>
    <xf numFmtId="169" fontId="1" fillId="0" borderId="0" xfId="0" applyNumberFormat="1" applyFont="1" applyBorder="1" applyAlignment="1">
      <alignment/>
    </xf>
    <xf numFmtId="169" fontId="0" fillId="0" borderId="1" xfId="0" applyNumberFormat="1" applyFill="1" applyBorder="1" applyAlignment="1">
      <alignment horizontal="center"/>
    </xf>
    <xf numFmtId="0" fontId="0" fillId="0" borderId="0" xfId="0" applyNumberFormat="1" applyFont="1" applyBorder="1" applyAlignment="1">
      <alignment/>
    </xf>
    <xf numFmtId="0" fontId="3" fillId="0" borderId="0" xfId="0" applyFont="1" applyFill="1" applyBorder="1" applyAlignment="1">
      <alignment horizontal="left"/>
    </xf>
    <xf numFmtId="3" fontId="3" fillId="0" borderId="0" xfId="0" applyNumberFormat="1" applyFont="1" applyFill="1" applyBorder="1" applyAlignment="1">
      <alignment horizontal="left"/>
    </xf>
    <xf numFmtId="164" fontId="3" fillId="0" borderId="0" xfId="0" applyNumberFormat="1" applyFont="1" applyFill="1" applyBorder="1" applyAlignment="1">
      <alignment horizontal="right"/>
    </xf>
    <xf numFmtId="2" fontId="0" fillId="0" borderId="0" xfId="0" applyNumberFormat="1" applyBorder="1" applyAlignment="1">
      <alignment horizontal="center"/>
    </xf>
    <xf numFmtId="1" fontId="0" fillId="0" borderId="0" xfId="0" applyNumberFormat="1" applyBorder="1" applyAlignment="1">
      <alignment horizontal="center"/>
    </xf>
    <xf numFmtId="169" fontId="0" fillId="0" borderId="1" xfId="0" applyNumberFormat="1" applyFont="1" applyBorder="1" applyAlignment="1">
      <alignment/>
    </xf>
    <xf numFmtId="0" fontId="3" fillId="0" borderId="0" xfId="0" applyFont="1" applyAlignment="1">
      <alignment vertical="justify" wrapText="1"/>
    </xf>
    <xf numFmtId="0" fontId="16" fillId="8" borderId="0" xfId="0" applyFont="1" applyFill="1" applyAlignment="1">
      <alignment/>
    </xf>
    <xf numFmtId="0" fontId="0" fillId="8" borderId="0" xfId="0" applyFill="1" applyAlignment="1">
      <alignment/>
    </xf>
    <xf numFmtId="10" fontId="0" fillId="0" borderId="10" xfId="0" applyNumberFormat="1" applyBorder="1" applyAlignment="1">
      <alignment/>
    </xf>
    <xf numFmtId="11" fontId="0" fillId="0" borderId="11" xfId="0" applyNumberFormat="1" applyBorder="1" applyAlignment="1">
      <alignment/>
    </xf>
    <xf numFmtId="10" fontId="0" fillId="0" borderId="10" xfId="0" applyNumberFormat="1" applyBorder="1" applyAlignment="1">
      <alignment horizontal="center"/>
    </xf>
    <xf numFmtId="11" fontId="0" fillId="0" borderId="11" xfId="0" applyNumberFormat="1" applyBorder="1" applyAlignment="1">
      <alignment horizontal="center"/>
    </xf>
    <xf numFmtId="0" fontId="14" fillId="0" borderId="6" xfId="0" applyFont="1" applyBorder="1" applyAlignment="1">
      <alignment vertical="top" wrapText="1"/>
    </xf>
    <xf numFmtId="0" fontId="13" fillId="0" borderId="6" xfId="0" applyFont="1" applyBorder="1" applyAlignment="1">
      <alignment vertical="top" wrapText="1"/>
    </xf>
    <xf numFmtId="0" fontId="14" fillId="0" borderId="7" xfId="0" applyFont="1" applyBorder="1" applyAlignment="1">
      <alignment vertical="top" wrapText="1"/>
    </xf>
    <xf numFmtId="0" fontId="15" fillId="0" borderId="10" xfId="0" applyFont="1" applyBorder="1" applyAlignment="1">
      <alignment vertical="top" wrapText="1"/>
    </xf>
    <xf numFmtId="0" fontId="14" fillId="0" borderId="0" xfId="0" applyFont="1" applyBorder="1" applyAlignment="1">
      <alignment vertical="top" wrapText="1"/>
    </xf>
    <xf numFmtId="0" fontId="14" fillId="0" borderId="10" xfId="0" applyFont="1" applyBorder="1" applyAlignment="1">
      <alignment vertical="top" wrapText="1"/>
    </xf>
    <xf numFmtId="0" fontId="0" fillId="0" borderId="0" xfId="0" applyAlignment="1">
      <alignment horizontal="left"/>
    </xf>
    <xf numFmtId="0" fontId="0" fillId="0" borderId="0" xfId="0"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19"/>
  <sheetViews>
    <sheetView workbookViewId="0" topLeftCell="A16">
      <selection activeCell="E11" sqref="E11"/>
    </sheetView>
  </sheetViews>
  <sheetFormatPr defaultColWidth="9.140625" defaultRowHeight="12.75"/>
  <cols>
    <col min="2" max="2" width="15.421875" style="0" customWidth="1"/>
    <col min="3" max="3" width="43.7109375" style="0" customWidth="1"/>
    <col min="4" max="4" width="27.7109375" style="0" customWidth="1"/>
  </cols>
  <sheetData>
    <row r="1" spans="1:10" ht="26.25">
      <c r="A1" s="28"/>
      <c r="B1" s="339" t="s">
        <v>359</v>
      </c>
      <c r="C1" s="340"/>
      <c r="D1" s="341" t="s">
        <v>375</v>
      </c>
      <c r="F1" s="28"/>
      <c r="G1" s="28"/>
      <c r="H1" s="28"/>
      <c r="I1" s="28"/>
      <c r="J1" s="28"/>
    </row>
    <row r="2" spans="1:10" ht="12.75">
      <c r="A2" s="28"/>
      <c r="F2" s="28"/>
      <c r="G2" s="28"/>
      <c r="H2" s="28"/>
      <c r="I2" s="28"/>
      <c r="J2" s="28"/>
    </row>
    <row r="3" spans="1:10" ht="18.75">
      <c r="A3" s="28"/>
      <c r="C3" s="342" t="s">
        <v>360</v>
      </c>
      <c r="F3" s="28"/>
      <c r="G3" s="28"/>
      <c r="H3" s="28"/>
      <c r="I3" s="28"/>
      <c r="J3" s="28"/>
    </row>
    <row r="4" spans="1:10" ht="18.75">
      <c r="A4" s="28"/>
      <c r="C4" s="342" t="s">
        <v>361</v>
      </c>
      <c r="F4" s="28"/>
      <c r="G4" s="28"/>
      <c r="H4" s="28"/>
      <c r="I4" s="28"/>
      <c r="J4" s="28"/>
    </row>
    <row r="5" spans="1:10" ht="18.75">
      <c r="A5" s="28"/>
      <c r="B5" s="342"/>
      <c r="F5" s="28"/>
      <c r="G5" s="28"/>
      <c r="H5" s="28"/>
      <c r="I5" s="28"/>
      <c r="J5" s="28"/>
    </row>
    <row r="6" spans="1:10" ht="15.75">
      <c r="A6" s="28"/>
      <c r="B6" s="343" t="s">
        <v>362</v>
      </c>
      <c r="C6" s="378" t="s">
        <v>363</v>
      </c>
      <c r="D6" s="378"/>
      <c r="F6" s="28"/>
      <c r="G6" s="28"/>
      <c r="H6" s="28"/>
      <c r="I6" s="28"/>
      <c r="J6" s="28"/>
    </row>
    <row r="7" spans="1:10" ht="38.25" customHeight="1">
      <c r="A7" s="28"/>
      <c r="B7" s="343" t="s">
        <v>364</v>
      </c>
      <c r="C7" s="379" t="s">
        <v>376</v>
      </c>
      <c r="D7" s="379"/>
      <c r="F7" s="28"/>
      <c r="G7" s="28"/>
      <c r="H7" s="28"/>
      <c r="I7" s="28"/>
      <c r="J7" s="28"/>
    </row>
    <row r="8" spans="1:10" ht="15.75">
      <c r="A8" s="28"/>
      <c r="B8" s="343" t="s">
        <v>365</v>
      </c>
      <c r="C8" s="378" t="s">
        <v>377</v>
      </c>
      <c r="D8" s="378"/>
      <c r="F8" s="28"/>
      <c r="G8" s="28"/>
      <c r="H8" s="28"/>
      <c r="I8" s="28"/>
      <c r="J8" s="28"/>
    </row>
    <row r="9" spans="1:10" ht="15.75">
      <c r="A9" s="28"/>
      <c r="B9" s="380" t="s">
        <v>366</v>
      </c>
      <c r="C9" s="343" t="s">
        <v>378</v>
      </c>
      <c r="D9" s="343" t="s">
        <v>383</v>
      </c>
      <c r="F9" s="28"/>
      <c r="G9" s="28"/>
      <c r="H9" s="28"/>
      <c r="I9" s="28"/>
      <c r="J9" s="28"/>
    </row>
    <row r="10" spans="1:10" ht="15.75">
      <c r="A10" s="28"/>
      <c r="B10" s="382"/>
      <c r="C10" s="345" t="s">
        <v>379</v>
      </c>
      <c r="D10" s="345" t="s">
        <v>384</v>
      </c>
      <c r="F10" s="28"/>
      <c r="G10" s="28"/>
      <c r="H10" s="28"/>
      <c r="I10" s="28"/>
      <c r="J10" s="28"/>
    </row>
    <row r="11" spans="1:10" ht="31.5">
      <c r="A11" s="28"/>
      <c r="B11" s="382"/>
      <c r="C11" s="345" t="s">
        <v>380</v>
      </c>
      <c r="D11" s="345" t="s">
        <v>385</v>
      </c>
      <c r="F11" s="28"/>
      <c r="G11" s="28"/>
      <c r="H11" s="28"/>
      <c r="I11" s="28"/>
      <c r="J11" s="28"/>
    </row>
    <row r="12" spans="1:10" ht="15.75">
      <c r="A12" s="28"/>
      <c r="B12" s="383"/>
      <c r="C12" s="346" t="s">
        <v>381</v>
      </c>
      <c r="D12" s="347"/>
      <c r="F12" s="28"/>
      <c r="G12" s="28"/>
      <c r="H12" s="28"/>
      <c r="I12" s="28"/>
      <c r="J12" s="28"/>
    </row>
    <row r="13" spans="1:10" ht="15.75">
      <c r="A13" s="28"/>
      <c r="B13" s="380" t="s">
        <v>367</v>
      </c>
      <c r="C13" s="380"/>
      <c r="D13" s="380"/>
      <c r="F13" s="28"/>
      <c r="G13" s="28"/>
      <c r="H13" s="28"/>
      <c r="I13" s="28"/>
      <c r="J13" s="28"/>
    </row>
    <row r="14" spans="1:10" ht="15.75">
      <c r="A14" s="28"/>
      <c r="B14" s="382"/>
      <c r="C14" s="381"/>
      <c r="D14" s="381"/>
      <c r="F14" s="28"/>
      <c r="G14" s="28"/>
      <c r="H14" s="28"/>
      <c r="I14" s="28"/>
      <c r="J14" s="28"/>
    </row>
    <row r="15" spans="1:10" ht="15.75">
      <c r="A15" s="28"/>
      <c r="B15" s="383"/>
      <c r="C15" s="348"/>
      <c r="F15" s="28"/>
      <c r="G15" s="28"/>
      <c r="H15" s="28"/>
      <c r="I15" s="28"/>
      <c r="J15" s="28"/>
    </row>
    <row r="16" spans="1:10" ht="34.5" customHeight="1">
      <c r="A16" s="28"/>
      <c r="B16" s="343" t="s">
        <v>368</v>
      </c>
      <c r="C16" s="378" t="s">
        <v>382</v>
      </c>
      <c r="D16" s="378"/>
      <c r="F16" s="28"/>
      <c r="G16" s="28"/>
      <c r="H16" s="28"/>
      <c r="I16" s="28"/>
      <c r="J16" s="28"/>
    </row>
    <row r="17" spans="1:10" ht="15.75">
      <c r="A17" s="28"/>
      <c r="B17" s="343" t="s">
        <v>369</v>
      </c>
      <c r="C17" s="378" t="s">
        <v>370</v>
      </c>
      <c r="D17" s="378"/>
      <c r="F17" s="28"/>
      <c r="G17" s="28"/>
      <c r="H17" s="28"/>
      <c r="I17" s="28"/>
      <c r="J17" s="28"/>
    </row>
    <row r="18" spans="1:10" ht="79.5" customHeight="1">
      <c r="A18" s="28"/>
      <c r="B18" s="344" t="s">
        <v>371</v>
      </c>
      <c r="C18" s="378" t="s">
        <v>372</v>
      </c>
      <c r="D18" s="378"/>
      <c r="F18" s="28"/>
      <c r="G18" s="28"/>
      <c r="H18" s="28"/>
      <c r="I18" s="28"/>
      <c r="J18" s="28"/>
    </row>
    <row r="19" spans="1:10" ht="36" customHeight="1">
      <c r="A19" s="28"/>
      <c r="B19" s="346" t="s">
        <v>373</v>
      </c>
      <c r="C19" s="378" t="s">
        <v>374</v>
      </c>
      <c r="D19" s="378"/>
      <c r="F19" s="28"/>
      <c r="G19" s="28"/>
      <c r="H19" s="28"/>
      <c r="I19" s="28"/>
      <c r="J19" s="28"/>
    </row>
  </sheetData>
  <mergeCells count="11">
    <mergeCell ref="B13:B15"/>
    <mergeCell ref="B9:B12"/>
    <mergeCell ref="C17:D17"/>
    <mergeCell ref="C18:D18"/>
    <mergeCell ref="C19:D19"/>
    <mergeCell ref="C6:D6"/>
    <mergeCell ref="C7:D7"/>
    <mergeCell ref="C8:D8"/>
    <mergeCell ref="C13:D13"/>
    <mergeCell ref="C14:D14"/>
    <mergeCell ref="C16:D16"/>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C3:C33"/>
  <sheetViews>
    <sheetView workbookViewId="0" topLeftCell="A20">
      <selection activeCell="C26" sqref="C26"/>
    </sheetView>
  </sheetViews>
  <sheetFormatPr defaultColWidth="9.140625" defaultRowHeight="12.75"/>
  <cols>
    <col min="3" max="3" width="70.57421875" style="0" customWidth="1"/>
  </cols>
  <sheetData>
    <row r="3" ht="12.75">
      <c r="C3" s="258" t="s">
        <v>396</v>
      </c>
    </row>
    <row r="4" ht="13.5" thickBot="1">
      <c r="C4" s="352" t="s">
        <v>394</v>
      </c>
    </row>
    <row r="5" ht="120" customHeight="1" thickTop="1">
      <c r="C5" s="350" t="s">
        <v>386</v>
      </c>
    </row>
    <row r="6" ht="4.5" customHeight="1">
      <c r="C6" s="350"/>
    </row>
    <row r="7" ht="89.25">
      <c r="C7" s="350" t="s">
        <v>387</v>
      </c>
    </row>
    <row r="8" ht="25.5">
      <c r="C8" s="350" t="s">
        <v>388</v>
      </c>
    </row>
    <row r="9" ht="25.5">
      <c r="C9" s="350" t="s">
        <v>391</v>
      </c>
    </row>
    <row r="10" ht="12.75">
      <c r="C10" s="350" t="s">
        <v>390</v>
      </c>
    </row>
    <row r="11" ht="12.75">
      <c r="C11" s="350" t="s">
        <v>389</v>
      </c>
    </row>
    <row r="12" ht="12.75">
      <c r="C12" s="350" t="s">
        <v>392</v>
      </c>
    </row>
    <row r="13" ht="12.75">
      <c r="C13" s="351" t="s">
        <v>393</v>
      </c>
    </row>
    <row r="14" ht="12.75">
      <c r="C14" s="349"/>
    </row>
    <row r="15" ht="13.5" thickBot="1">
      <c r="C15" s="333" t="s">
        <v>395</v>
      </c>
    </row>
    <row r="16" ht="26.25" thickTop="1">
      <c r="C16" s="350" t="s">
        <v>397</v>
      </c>
    </row>
    <row r="17" ht="25.5">
      <c r="C17" s="350" t="s">
        <v>398</v>
      </c>
    </row>
    <row r="18" ht="25.5">
      <c r="C18" s="350" t="s">
        <v>399</v>
      </c>
    </row>
    <row r="19" ht="25.5">
      <c r="C19" s="350" t="s">
        <v>401</v>
      </c>
    </row>
    <row r="20" ht="38.25">
      <c r="C20" s="350" t="s">
        <v>402</v>
      </c>
    </row>
    <row r="21" ht="38.25">
      <c r="C21" s="350" t="s">
        <v>400</v>
      </c>
    </row>
    <row r="22" ht="89.25">
      <c r="C22" s="351" t="s">
        <v>403</v>
      </c>
    </row>
    <row r="23" ht="76.5">
      <c r="C23" s="371" t="s">
        <v>421</v>
      </c>
    </row>
    <row r="24" ht="12.75">
      <c r="C24" s="349"/>
    </row>
    <row r="25" ht="12.75">
      <c r="C25" s="371" t="s">
        <v>422</v>
      </c>
    </row>
    <row r="26" ht="51">
      <c r="C26" s="349" t="s">
        <v>423</v>
      </c>
    </row>
    <row r="27" ht="12.75">
      <c r="C27" s="349"/>
    </row>
    <row r="28" ht="12.75">
      <c r="C28" s="349"/>
    </row>
    <row r="29" ht="12.75">
      <c r="C29" s="349"/>
    </row>
    <row r="30" ht="12.75">
      <c r="C30" s="349"/>
    </row>
    <row r="31" ht="12.75">
      <c r="C31" s="349"/>
    </row>
    <row r="32" ht="12.75">
      <c r="C32" s="349"/>
    </row>
    <row r="33" ht="12.75">
      <c r="C33" s="349"/>
    </row>
  </sheetData>
  <printOptions/>
  <pageMargins left="0.75" right="0.75" top="1" bottom="1" header="0.5" footer="0.5"/>
  <pageSetup horizontalDpi="600" verticalDpi="600" orientation="portrait" r:id="rId1"/>
  <headerFooter alignWithMargins="0">
    <oddHeader>&amp;LNovember, 2000&amp;RIEEE P802.15.3 00/354r1</oddHeader>
    <oddFooter>&amp;LSubmission&amp;C&amp;P&amp;RAllen Heberling, Eastman Kodak, Co.</oddFooter>
  </headerFooter>
</worksheet>
</file>

<file path=xl/worksheets/sheet3.xml><?xml version="1.0" encoding="utf-8"?>
<worksheet xmlns="http://schemas.openxmlformats.org/spreadsheetml/2006/main" xmlns:r="http://schemas.openxmlformats.org/officeDocument/2006/relationships">
  <dimension ref="A1:S22"/>
  <sheetViews>
    <sheetView workbookViewId="0" topLeftCell="A1">
      <selection activeCell="T7" sqref="T7"/>
    </sheetView>
  </sheetViews>
  <sheetFormatPr defaultColWidth="9.140625" defaultRowHeight="12.75"/>
  <cols>
    <col min="1" max="1" width="15.7109375" style="0" bestFit="1" customWidth="1"/>
    <col min="3" max="3" width="2.00390625" style="0" customWidth="1"/>
    <col min="4" max="4" width="9.421875" style="0" customWidth="1"/>
    <col min="5" max="5" width="6.140625" style="0" customWidth="1"/>
    <col min="6" max="6" width="8.57421875" style="0" customWidth="1"/>
    <col min="7" max="7" width="6.28125" style="0" customWidth="1"/>
    <col min="8" max="8" width="2.00390625" style="0" customWidth="1"/>
    <col min="9" max="9" width="15.57421875" style="0" customWidth="1"/>
    <col min="10" max="10" width="6.421875" style="0" customWidth="1"/>
    <col min="11" max="11" width="1.7109375" style="0" customWidth="1"/>
    <col min="12" max="12" width="13.7109375" style="0" customWidth="1"/>
    <col min="13" max="13" width="6.28125" style="0" customWidth="1"/>
    <col min="14" max="14" width="9.00390625" style="0" customWidth="1"/>
    <col min="15" max="15" width="1.7109375" style="0" customWidth="1"/>
    <col min="16" max="16" width="14.7109375" style="0" customWidth="1"/>
    <col min="17" max="17" width="7.140625" style="0" customWidth="1"/>
    <col min="18" max="18" width="7.57421875" style="0" customWidth="1"/>
    <col min="19" max="19" width="1.57421875" style="0" customWidth="1"/>
  </cols>
  <sheetData>
    <row r="1" spans="1:18" ht="12.75">
      <c r="A1" s="2">
        <v>802.11</v>
      </c>
      <c r="B1" s="7"/>
      <c r="C1" s="7"/>
      <c r="D1" s="8" t="s">
        <v>1</v>
      </c>
      <c r="E1" s="9"/>
      <c r="F1" s="9"/>
      <c r="G1" s="9"/>
      <c r="H1" s="6"/>
      <c r="I1" s="11" t="s">
        <v>0</v>
      </c>
      <c r="J1" s="9"/>
      <c r="K1" s="6"/>
      <c r="L1" s="8" t="s">
        <v>89</v>
      </c>
      <c r="M1" s="9"/>
      <c r="N1" s="9"/>
      <c r="P1" s="8" t="s">
        <v>408</v>
      </c>
      <c r="Q1" s="9"/>
      <c r="R1" s="9"/>
    </row>
    <row r="2" spans="1:17" ht="45">
      <c r="A2" s="6"/>
      <c r="B2" s="7"/>
      <c r="C2" s="7"/>
      <c r="D2" s="6" t="s">
        <v>3</v>
      </c>
      <c r="E2" s="3" t="s">
        <v>4</v>
      </c>
      <c r="F2" s="6" t="s">
        <v>5</v>
      </c>
      <c r="G2" s="3" t="s">
        <v>4</v>
      </c>
      <c r="H2" s="6"/>
      <c r="I2" s="12"/>
      <c r="J2" s="3" t="s">
        <v>2</v>
      </c>
      <c r="K2" s="6"/>
      <c r="L2" s="6" t="s">
        <v>6</v>
      </c>
      <c r="M2" s="3" t="s">
        <v>4</v>
      </c>
      <c r="N2" s="3" t="s">
        <v>7</v>
      </c>
      <c r="P2" s="6" t="s">
        <v>6</v>
      </c>
      <c r="Q2" s="3" t="s">
        <v>4</v>
      </c>
    </row>
    <row r="3" spans="1:17" ht="22.5">
      <c r="A3" s="6" t="s">
        <v>40</v>
      </c>
      <c r="B3" s="4">
        <v>144</v>
      </c>
      <c r="C3" s="7"/>
      <c r="D3" s="6" t="s">
        <v>8</v>
      </c>
      <c r="E3" s="4">
        <v>80</v>
      </c>
      <c r="F3" s="6"/>
      <c r="G3" s="4">
        <v>80</v>
      </c>
      <c r="H3" s="6"/>
      <c r="I3" s="12" t="s">
        <v>8</v>
      </c>
      <c r="J3" s="4">
        <v>144</v>
      </c>
      <c r="K3" s="6"/>
      <c r="L3" s="5" t="s">
        <v>9</v>
      </c>
      <c r="M3" s="4">
        <v>72</v>
      </c>
      <c r="N3" s="4">
        <v>72</v>
      </c>
      <c r="P3" s="5" t="s">
        <v>9</v>
      </c>
      <c r="Q3" s="4">
        <v>72</v>
      </c>
    </row>
    <row r="4" spans="1:17" ht="12.75">
      <c r="A4" s="6" t="s">
        <v>50</v>
      </c>
      <c r="B4" s="4">
        <v>16</v>
      </c>
      <c r="C4" s="7"/>
      <c r="D4" s="6" t="s">
        <v>11</v>
      </c>
      <c r="E4" s="4">
        <v>16</v>
      </c>
      <c r="F4" s="6"/>
      <c r="G4" s="4">
        <v>16</v>
      </c>
      <c r="H4" s="6"/>
      <c r="I4" s="12" t="s">
        <v>10</v>
      </c>
      <c r="J4" s="4">
        <v>16</v>
      </c>
      <c r="K4" s="6"/>
      <c r="L4" s="6" t="s">
        <v>12</v>
      </c>
      <c r="M4" s="4">
        <v>3</v>
      </c>
      <c r="N4" s="4">
        <v>3</v>
      </c>
      <c r="P4" s="6" t="s">
        <v>409</v>
      </c>
      <c r="Q4" s="4">
        <v>3</v>
      </c>
    </row>
    <row r="5" spans="1:17" ht="12.75">
      <c r="A5" s="6" t="s">
        <v>13</v>
      </c>
      <c r="B5" s="4">
        <v>16</v>
      </c>
      <c r="C5" s="7"/>
      <c r="D5" s="6" t="s">
        <v>14</v>
      </c>
      <c r="E5" s="4">
        <v>10</v>
      </c>
      <c r="F5" s="6"/>
      <c r="G5" s="4">
        <v>10</v>
      </c>
      <c r="H5" s="6"/>
      <c r="I5" s="12" t="s">
        <v>13</v>
      </c>
      <c r="J5" s="4">
        <v>16</v>
      </c>
      <c r="K5" s="6"/>
      <c r="L5" s="6" t="s">
        <v>15</v>
      </c>
      <c r="M5" s="4">
        <v>4</v>
      </c>
      <c r="N5" s="4">
        <v>4</v>
      </c>
      <c r="P5" s="353" t="s">
        <v>410</v>
      </c>
      <c r="Q5" s="354">
        <v>3</v>
      </c>
    </row>
    <row r="6" spans="1:17" ht="12.75">
      <c r="A6" s="6" t="s">
        <v>51</v>
      </c>
      <c r="B6" s="4">
        <v>16</v>
      </c>
      <c r="C6" s="7"/>
      <c r="D6" s="6" t="s">
        <v>13</v>
      </c>
      <c r="E6" s="4">
        <v>14</v>
      </c>
      <c r="F6" s="6"/>
      <c r="G6" s="4">
        <v>14</v>
      </c>
      <c r="H6" s="6"/>
      <c r="I6" s="12" t="s">
        <v>51</v>
      </c>
      <c r="J6" s="4">
        <v>16</v>
      </c>
      <c r="K6" s="6"/>
      <c r="L6" s="6" t="s">
        <v>17</v>
      </c>
      <c r="M6" s="4">
        <v>1</v>
      </c>
      <c r="N6" s="4">
        <v>1</v>
      </c>
      <c r="P6" s="6" t="s">
        <v>15</v>
      </c>
      <c r="Q6" s="4">
        <v>4</v>
      </c>
    </row>
    <row r="7" spans="1:17" ht="12.75">
      <c r="A7" s="6" t="s">
        <v>41</v>
      </c>
      <c r="B7" s="4">
        <v>16</v>
      </c>
      <c r="C7" s="7"/>
      <c r="D7" s="6" t="s">
        <v>19</v>
      </c>
      <c r="E7" s="4">
        <v>24</v>
      </c>
      <c r="F7" s="6"/>
      <c r="G7" s="4">
        <v>24</v>
      </c>
      <c r="H7" s="6"/>
      <c r="I7" s="12" t="s">
        <v>18</v>
      </c>
      <c r="J7" s="4">
        <v>8</v>
      </c>
      <c r="K7" s="6"/>
      <c r="L7" s="6" t="s">
        <v>20</v>
      </c>
      <c r="M7" s="4">
        <v>1</v>
      </c>
      <c r="N7" s="4">
        <v>1</v>
      </c>
      <c r="P7" s="6" t="s">
        <v>17</v>
      </c>
      <c r="Q7" s="4">
        <v>1</v>
      </c>
    </row>
    <row r="8" spans="1:17" ht="12.75">
      <c r="A8" s="6" t="s">
        <v>42</v>
      </c>
      <c r="B8" s="4">
        <v>16</v>
      </c>
      <c r="C8" s="7"/>
      <c r="D8" s="6" t="s">
        <v>22</v>
      </c>
      <c r="E8" s="4">
        <v>8</v>
      </c>
      <c r="F8" s="6"/>
      <c r="G8" s="4">
        <v>8</v>
      </c>
      <c r="H8" s="6"/>
      <c r="I8" s="12" t="s">
        <v>21</v>
      </c>
      <c r="J8" s="4">
        <v>8</v>
      </c>
      <c r="K8" s="6"/>
      <c r="L8" s="6" t="s">
        <v>23</v>
      </c>
      <c r="M8" s="4">
        <v>1</v>
      </c>
      <c r="N8" s="4">
        <v>1</v>
      </c>
      <c r="P8" s="6" t="s">
        <v>20</v>
      </c>
      <c r="Q8" s="4">
        <v>1</v>
      </c>
    </row>
    <row r="9" spans="1:17" ht="12.75">
      <c r="A9" s="6" t="s">
        <v>43</v>
      </c>
      <c r="B9" s="4">
        <v>48</v>
      </c>
      <c r="C9" s="7"/>
      <c r="D9" s="6" t="s">
        <v>25</v>
      </c>
      <c r="E9" s="4">
        <v>48</v>
      </c>
      <c r="F9" s="6"/>
      <c r="G9" s="4">
        <v>48</v>
      </c>
      <c r="H9" s="6"/>
      <c r="I9" s="12" t="s">
        <v>24</v>
      </c>
      <c r="J9" s="4">
        <f>2+4+2</f>
        <v>8</v>
      </c>
      <c r="K9" s="6"/>
      <c r="L9" s="6" t="s">
        <v>26</v>
      </c>
      <c r="M9" s="4">
        <v>8</v>
      </c>
      <c r="N9" s="4">
        <v>8</v>
      </c>
      <c r="P9" s="6" t="s">
        <v>23</v>
      </c>
      <c r="Q9" s="354">
        <v>2</v>
      </c>
    </row>
    <row r="10" spans="1:19" ht="12.75">
      <c r="A10" s="6" t="s">
        <v>44</v>
      </c>
      <c r="B10" s="4">
        <v>48</v>
      </c>
      <c r="C10" s="7"/>
      <c r="D10" s="6" t="s">
        <v>28</v>
      </c>
      <c r="E10" s="4">
        <v>48</v>
      </c>
      <c r="F10" s="6"/>
      <c r="G10" s="4">
        <v>48</v>
      </c>
      <c r="H10" s="6"/>
      <c r="I10" s="12" t="s">
        <v>27</v>
      </c>
      <c r="J10" s="4">
        <f>3+5</f>
        <v>8</v>
      </c>
      <c r="K10" s="6"/>
      <c r="L10" s="6" t="s">
        <v>29</v>
      </c>
      <c r="M10" s="4">
        <v>2</v>
      </c>
      <c r="N10" s="4">
        <v>2</v>
      </c>
      <c r="P10" s="6" t="s">
        <v>26</v>
      </c>
      <c r="Q10" s="4">
        <v>8</v>
      </c>
      <c r="R10">
        <f>SUM(Q4:Q10)</f>
        <v>22</v>
      </c>
      <c r="S10">
        <f>SUM(Q4:Q10)</f>
        <v>22</v>
      </c>
    </row>
    <row r="11" spans="1:17" ht="12.75">
      <c r="A11" s="6" t="s">
        <v>45</v>
      </c>
      <c r="B11" s="4">
        <v>48</v>
      </c>
      <c r="C11" s="7"/>
      <c r="D11" s="6" t="s">
        <v>31</v>
      </c>
      <c r="E11" s="4">
        <v>16</v>
      </c>
      <c r="F11" s="6" t="s">
        <v>32</v>
      </c>
      <c r="G11" s="4">
        <v>32</v>
      </c>
      <c r="H11" s="6"/>
      <c r="I11" s="12" t="s">
        <v>30</v>
      </c>
      <c r="J11" s="4">
        <v>8</v>
      </c>
      <c r="K11" s="6"/>
      <c r="L11" s="6" t="s">
        <v>17</v>
      </c>
      <c r="M11" s="4">
        <v>1</v>
      </c>
      <c r="N11" s="4">
        <v>1</v>
      </c>
      <c r="P11" s="6" t="s">
        <v>29</v>
      </c>
      <c r="Q11" s="4">
        <v>2</v>
      </c>
    </row>
    <row r="12" spans="1:17" ht="12.75">
      <c r="A12" s="6" t="s">
        <v>46</v>
      </c>
      <c r="B12" s="4">
        <v>16</v>
      </c>
      <c r="C12" s="7"/>
      <c r="D12" s="6" t="s">
        <v>34</v>
      </c>
      <c r="E12" s="4" t="s">
        <v>35</v>
      </c>
      <c r="F12" s="6" t="s">
        <v>31</v>
      </c>
      <c r="G12" s="4">
        <v>16</v>
      </c>
      <c r="H12" s="6"/>
      <c r="I12" s="12" t="s">
        <v>33</v>
      </c>
      <c r="J12" s="4">
        <f>5+2+1</f>
        <v>8</v>
      </c>
      <c r="K12" s="6"/>
      <c r="L12" s="6" t="s">
        <v>13</v>
      </c>
      <c r="M12" s="4">
        <v>5</v>
      </c>
      <c r="N12" s="4">
        <v>13</v>
      </c>
      <c r="P12" s="6" t="s">
        <v>17</v>
      </c>
      <c r="Q12" s="4">
        <v>1</v>
      </c>
    </row>
    <row r="13" spans="1:19" ht="12.75">
      <c r="A13" s="6" t="s">
        <v>47</v>
      </c>
      <c r="B13" s="4">
        <v>48</v>
      </c>
      <c r="C13" s="7"/>
      <c r="D13" s="6" t="s">
        <v>16</v>
      </c>
      <c r="E13" s="4">
        <v>32</v>
      </c>
      <c r="F13" s="6" t="s">
        <v>34</v>
      </c>
      <c r="G13" s="4" t="s">
        <v>35</v>
      </c>
      <c r="H13" s="6"/>
      <c r="I13" s="12" t="s">
        <v>36</v>
      </c>
      <c r="J13" s="4">
        <v>8</v>
      </c>
      <c r="K13" s="6"/>
      <c r="L13" s="6" t="s">
        <v>34</v>
      </c>
      <c r="M13" s="4" t="s">
        <v>35</v>
      </c>
      <c r="N13" s="4" t="s">
        <v>35</v>
      </c>
      <c r="P13" s="355" t="s">
        <v>13</v>
      </c>
      <c r="Q13" s="354">
        <v>13</v>
      </c>
      <c r="R13">
        <f>SUM(Q11:Q13)</f>
        <v>16</v>
      </c>
      <c r="S13">
        <f>SUM(Q11:Q13)</f>
        <v>16</v>
      </c>
    </row>
    <row r="14" spans="1:17" ht="12.75">
      <c r="A14" s="6" t="s">
        <v>34</v>
      </c>
      <c r="B14" s="4" t="s">
        <v>35</v>
      </c>
      <c r="C14" s="7"/>
      <c r="D14" s="6"/>
      <c r="E14" s="4"/>
      <c r="F14" s="6" t="s">
        <v>16</v>
      </c>
      <c r="G14" s="4">
        <v>32</v>
      </c>
      <c r="H14" s="6"/>
      <c r="I14" s="12" t="s">
        <v>37</v>
      </c>
      <c r="J14" s="4">
        <v>8</v>
      </c>
      <c r="K14" s="6"/>
      <c r="L14" s="6" t="s">
        <v>16</v>
      </c>
      <c r="M14" s="4">
        <v>16</v>
      </c>
      <c r="N14" s="4">
        <v>16</v>
      </c>
      <c r="P14" s="6" t="s">
        <v>34</v>
      </c>
      <c r="Q14" s="4" t="s">
        <v>35</v>
      </c>
    </row>
    <row r="15" spans="1:19" ht="12.75">
      <c r="A15" s="6" t="s">
        <v>48</v>
      </c>
      <c r="B15" s="4">
        <v>32</v>
      </c>
      <c r="C15" s="7"/>
      <c r="D15" s="6"/>
      <c r="E15" s="4"/>
      <c r="F15" s="6"/>
      <c r="G15" s="6"/>
      <c r="H15" s="6"/>
      <c r="I15" s="12" t="s">
        <v>34</v>
      </c>
      <c r="J15" s="4" t="s">
        <v>38</v>
      </c>
      <c r="K15" s="6"/>
      <c r="L15" s="6"/>
      <c r="M15" s="6"/>
      <c r="N15" s="6"/>
      <c r="P15" s="6" t="s">
        <v>16</v>
      </c>
      <c r="Q15" s="4">
        <v>16</v>
      </c>
      <c r="S15">
        <f>SUM(Q11:Q13)</f>
        <v>16</v>
      </c>
    </row>
    <row r="16" spans="1:17" ht="12.75">
      <c r="A16" s="6"/>
      <c r="B16" s="4"/>
      <c r="C16" s="7"/>
      <c r="D16" s="6"/>
      <c r="E16" s="6"/>
      <c r="F16" s="6"/>
      <c r="G16" s="6"/>
      <c r="H16" s="6"/>
      <c r="I16" s="12" t="s">
        <v>411</v>
      </c>
      <c r="J16" s="4">
        <v>32</v>
      </c>
      <c r="K16" s="6"/>
      <c r="L16" s="6"/>
      <c r="M16" s="6"/>
      <c r="N16" s="6"/>
      <c r="P16" s="6"/>
      <c r="Q16" s="6"/>
    </row>
    <row r="17" spans="1:17" ht="12.75">
      <c r="A17" s="6"/>
      <c r="B17" s="4"/>
      <c r="C17" s="7"/>
      <c r="D17" s="6"/>
      <c r="E17" s="6"/>
      <c r="F17" s="6"/>
      <c r="G17" s="6"/>
      <c r="H17" s="6"/>
      <c r="I17" s="12"/>
      <c r="J17" s="6"/>
      <c r="K17" s="6"/>
      <c r="L17" s="6"/>
      <c r="M17" s="6"/>
      <c r="N17" s="6"/>
      <c r="P17" s="6"/>
      <c r="Q17" s="6"/>
    </row>
    <row r="18" spans="1:17" ht="12.75">
      <c r="A18" s="6" t="s">
        <v>52</v>
      </c>
      <c r="B18" s="4">
        <f>SUM(B3:B6)</f>
        <v>192</v>
      </c>
      <c r="C18" s="7"/>
      <c r="D18" s="6"/>
      <c r="E18" s="4">
        <f>SUM(E3:E4)</f>
        <v>96</v>
      </c>
      <c r="F18" s="6"/>
      <c r="G18" s="4">
        <f>SUM(G3:G4)</f>
        <v>96</v>
      </c>
      <c r="H18" s="6"/>
      <c r="I18" s="12"/>
      <c r="J18" s="4">
        <f>SUM(J3:J6)</f>
        <v>192</v>
      </c>
      <c r="K18" s="6"/>
      <c r="L18" s="6"/>
      <c r="M18" s="4">
        <f>M3</f>
        <v>72</v>
      </c>
      <c r="N18" s="4">
        <v>68</v>
      </c>
      <c r="P18" s="6"/>
      <c r="Q18" s="4">
        <f>Q3</f>
        <v>72</v>
      </c>
    </row>
    <row r="19" spans="1:17" ht="12.75">
      <c r="A19" s="6" t="s">
        <v>53</v>
      </c>
      <c r="B19" s="4">
        <f>SUM(B7:B15)</f>
        <v>272</v>
      </c>
      <c r="C19" s="7"/>
      <c r="D19" s="6"/>
      <c r="E19" s="4">
        <f>SUM(E5:E13)</f>
        <v>200</v>
      </c>
      <c r="F19" s="6"/>
      <c r="G19" s="4">
        <f>SUM(G5:G14)</f>
        <v>232</v>
      </c>
      <c r="H19" s="6"/>
      <c r="I19" s="7"/>
      <c r="J19" s="4">
        <f>SUM(J7:J16)</f>
        <v>96</v>
      </c>
      <c r="K19" s="6"/>
      <c r="L19" s="6"/>
      <c r="M19" s="4">
        <f>SUM(M4:M14)</f>
        <v>42</v>
      </c>
      <c r="N19" s="4">
        <f>SUM(N4:N14)</f>
        <v>50</v>
      </c>
      <c r="P19" s="6"/>
      <c r="Q19" s="4">
        <f>SUM(Q4:Q15)</f>
        <v>54</v>
      </c>
    </row>
    <row r="20" spans="1:17" ht="12.75">
      <c r="A20" s="6" t="s">
        <v>49</v>
      </c>
      <c r="B20" s="4">
        <f>SUM(B18:B19)</f>
        <v>464</v>
      </c>
      <c r="C20" s="7"/>
      <c r="D20" s="6"/>
      <c r="E20" s="4">
        <f>SUM(E18:E19)</f>
        <v>296</v>
      </c>
      <c r="F20" s="6"/>
      <c r="G20" s="4">
        <f>SUM(G18:G19)</f>
        <v>328</v>
      </c>
      <c r="H20" s="6"/>
      <c r="I20" s="7"/>
      <c r="J20" s="4">
        <f>SUM(J18:J19)</f>
        <v>288</v>
      </c>
      <c r="K20" s="6"/>
      <c r="L20" s="6"/>
      <c r="M20" s="4">
        <f>SUM(M18:M19)</f>
        <v>114</v>
      </c>
      <c r="N20" s="4">
        <f>SUM(N18:N19)</f>
        <v>118</v>
      </c>
      <c r="P20" s="6"/>
      <c r="Q20" s="4">
        <f>SUM(Q18:Q19)</f>
        <v>126</v>
      </c>
    </row>
    <row r="21" spans="1:17" ht="12.75">
      <c r="A21" s="6" t="s">
        <v>54</v>
      </c>
      <c r="B21" s="4">
        <v>4096</v>
      </c>
      <c r="C21" s="7"/>
      <c r="D21" s="7"/>
      <c r="E21" s="4">
        <v>4096</v>
      </c>
      <c r="F21" s="6"/>
      <c r="G21" s="4">
        <v>4096</v>
      </c>
      <c r="H21" s="7"/>
      <c r="I21" s="13"/>
      <c r="J21" s="4">
        <v>4096</v>
      </c>
      <c r="K21" s="7"/>
      <c r="L21" s="7"/>
      <c r="M21" s="4">
        <v>4096</v>
      </c>
      <c r="N21" s="4">
        <v>4096</v>
      </c>
      <c r="P21" s="7"/>
      <c r="Q21" s="4">
        <v>4096</v>
      </c>
    </row>
    <row r="22" spans="1:17" ht="22.5">
      <c r="A22" s="5" t="s">
        <v>39</v>
      </c>
      <c r="B22" s="14">
        <f>B20/B21</f>
        <v>0.11328125</v>
      </c>
      <c r="C22" s="7"/>
      <c r="D22" s="7"/>
      <c r="E22" s="14">
        <f>E20/E21</f>
        <v>0.072265625</v>
      </c>
      <c r="F22" s="7"/>
      <c r="G22" s="14">
        <f>G20/G21</f>
        <v>0.080078125</v>
      </c>
      <c r="H22" s="7"/>
      <c r="I22" s="7"/>
      <c r="J22" s="14">
        <f>J20/J21</f>
        <v>0.0703125</v>
      </c>
      <c r="K22" s="7"/>
      <c r="L22" s="7"/>
      <c r="M22" s="14">
        <f>M20/M21</f>
        <v>0.02783203125</v>
      </c>
      <c r="N22" s="14">
        <f>N20/N21</f>
        <v>0.02880859375</v>
      </c>
      <c r="P22" s="7"/>
      <c r="Q22" s="14">
        <f>Q20/Q21</f>
        <v>0.03076171875</v>
      </c>
    </row>
  </sheetData>
  <printOptions/>
  <pageMargins left="0.75" right="0.75" top="1" bottom="1" header="0.5" footer="0.5"/>
  <pageSetup horizontalDpi="600" verticalDpi="600" orientation="landscape" r:id="rId1"/>
  <headerFooter alignWithMargins="0">
    <oddHeader>&amp;LNovember, 2000&amp;RIEEE P802.15.3 00/354r1</oddHeader>
    <oddFooter>&amp;LSubmission&amp;C&amp;P&amp;RAllen Heberling, Eastman Kodak, Co.</oddFooter>
  </headerFooter>
</worksheet>
</file>

<file path=xl/worksheets/sheet4.xml><?xml version="1.0" encoding="utf-8"?>
<worksheet xmlns="http://schemas.openxmlformats.org/spreadsheetml/2006/main" xmlns:r="http://schemas.openxmlformats.org/officeDocument/2006/relationships">
  <dimension ref="A1:S132"/>
  <sheetViews>
    <sheetView zoomScale="70" zoomScaleNormal="70" workbookViewId="0" topLeftCell="B1">
      <selection activeCell="K21" sqref="K21"/>
    </sheetView>
  </sheetViews>
  <sheetFormatPr defaultColWidth="9.140625" defaultRowHeight="12.75"/>
  <cols>
    <col min="1" max="1" width="22.57421875" style="0" customWidth="1"/>
    <col min="3" max="3" width="10.8515625" style="0" bestFit="1" customWidth="1"/>
    <col min="4" max="4" width="12.7109375" style="0" customWidth="1"/>
    <col min="5" max="5" width="3.28125" style="0" customWidth="1"/>
    <col min="6" max="6" width="22.7109375" style="0" customWidth="1"/>
    <col min="8" max="8" width="13.00390625" style="0" customWidth="1"/>
    <col min="9" max="10" width="8.7109375" style="0" customWidth="1"/>
    <col min="11" max="11" width="25.7109375" style="0" customWidth="1"/>
    <col min="13" max="13" width="12.28125" style="0" customWidth="1"/>
  </cols>
  <sheetData>
    <row r="1" spans="1:19" ht="12.75">
      <c r="A1" s="71" t="s">
        <v>118</v>
      </c>
      <c r="B1" s="72"/>
      <c r="C1" s="72"/>
      <c r="D1" s="73"/>
      <c r="E1" s="1"/>
      <c r="F1" s="71" t="s">
        <v>117</v>
      </c>
      <c r="G1" s="74"/>
      <c r="H1" s="74"/>
      <c r="I1" s="11"/>
      <c r="J1" s="1"/>
      <c r="K1" s="71" t="s">
        <v>116</v>
      </c>
      <c r="L1" s="72"/>
      <c r="M1" s="72"/>
      <c r="N1" s="73"/>
      <c r="O1" s="1"/>
      <c r="P1" s="1"/>
      <c r="Q1" s="1"/>
      <c r="R1" s="1"/>
      <c r="S1" s="1"/>
    </row>
    <row r="2" spans="1:19" ht="22.5">
      <c r="A2" s="68"/>
      <c r="B2" s="68" t="s">
        <v>79</v>
      </c>
      <c r="C2" s="69" t="s">
        <v>84</v>
      </c>
      <c r="D2" s="70" t="s">
        <v>98</v>
      </c>
      <c r="E2" s="1"/>
      <c r="F2" s="6"/>
      <c r="G2" s="4" t="s">
        <v>79</v>
      </c>
      <c r="H2" s="3" t="s">
        <v>84</v>
      </c>
      <c r="I2" s="3" t="s">
        <v>98</v>
      </c>
      <c r="J2" s="1"/>
      <c r="K2" s="6"/>
      <c r="L2" s="6" t="s">
        <v>79</v>
      </c>
      <c r="M2" s="5" t="s">
        <v>84</v>
      </c>
      <c r="N2" s="3" t="s">
        <v>98</v>
      </c>
      <c r="O2" s="1"/>
      <c r="P2" s="1"/>
      <c r="Q2" s="1"/>
      <c r="R2" s="1"/>
      <c r="S2" s="1"/>
    </row>
    <row r="3" spans="1:19" ht="12.75">
      <c r="A3" s="4" t="s">
        <v>64</v>
      </c>
      <c r="B3" s="6"/>
      <c r="C3" s="20">
        <f>aSIFSTIME+(2*aSlotTime)</f>
        <v>5E-05</v>
      </c>
      <c r="D3" s="21">
        <f>0+C3</f>
        <v>5E-05</v>
      </c>
      <c r="E3" s="1"/>
      <c r="F3" s="7"/>
      <c r="G3" s="6"/>
      <c r="H3" s="6"/>
      <c r="I3" s="6"/>
      <c r="J3" s="1"/>
      <c r="K3" s="6"/>
      <c r="L3" s="6"/>
      <c r="M3" s="6"/>
      <c r="N3" s="6"/>
      <c r="O3" s="1"/>
      <c r="P3" s="1"/>
      <c r="Q3" s="1"/>
      <c r="R3" s="1"/>
      <c r="S3" s="1"/>
    </row>
    <row r="4" spans="1:19" ht="12.75">
      <c r="A4" s="4" t="s">
        <v>85</v>
      </c>
      <c r="B4" s="6">
        <f>Preamble+PLCP</f>
        <v>192</v>
      </c>
      <c r="C4" s="20">
        <f>B4/bitspersec</f>
        <v>8.727272727272728E-06</v>
      </c>
      <c r="D4" s="21">
        <f aca="true" t="shared" si="0" ref="D4:D67">D3+C4</f>
        <v>5.872727272727273E-05</v>
      </c>
      <c r="E4" s="1"/>
      <c r="F4" s="7"/>
      <c r="G4" s="6"/>
      <c r="H4" s="6"/>
      <c r="I4" s="6"/>
      <c r="J4" s="1"/>
      <c r="K4" s="4" t="s">
        <v>92</v>
      </c>
      <c r="L4" s="6"/>
      <c r="M4" s="21">
        <f>aSIFSTIME+aSlotTime</f>
        <v>3.0000000000000004E-05</v>
      </c>
      <c r="N4" s="6"/>
      <c r="O4" s="1"/>
      <c r="P4" s="1"/>
      <c r="Q4" s="1"/>
      <c r="R4" s="1"/>
      <c r="S4" s="1"/>
    </row>
    <row r="5" spans="1:19" ht="12.75">
      <c r="A5" s="4" t="s">
        <v>55</v>
      </c>
      <c r="B5" s="6">
        <v>160</v>
      </c>
      <c r="C5" s="20">
        <f>B5/bitspersec</f>
        <v>7.272727272727272E-06</v>
      </c>
      <c r="D5" s="21">
        <f t="shared" si="0"/>
        <v>6.6E-05</v>
      </c>
      <c r="E5" s="1"/>
      <c r="F5" s="6"/>
      <c r="G5" s="6"/>
      <c r="H5" s="6"/>
      <c r="I5" s="6"/>
      <c r="J5" s="1"/>
      <c r="K5" s="4" t="s">
        <v>93</v>
      </c>
      <c r="L5" s="6"/>
      <c r="M5" s="21"/>
      <c r="N5" s="6"/>
      <c r="O5" s="1"/>
      <c r="P5" s="1"/>
      <c r="Q5" s="1"/>
      <c r="R5" s="1"/>
      <c r="S5" s="1"/>
    </row>
    <row r="6" spans="1:19" ht="12.75">
      <c r="A6" s="4" t="s">
        <v>56</v>
      </c>
      <c r="B6" s="6"/>
      <c r="C6" s="20">
        <f>aSIFSTIME</f>
        <v>1E-05</v>
      </c>
      <c r="D6" s="21">
        <f t="shared" si="0"/>
        <v>7.6E-05</v>
      </c>
      <c r="E6" s="1"/>
      <c r="F6" s="6"/>
      <c r="G6" s="6"/>
      <c r="H6" s="6"/>
      <c r="I6" s="6"/>
      <c r="J6" s="1"/>
      <c r="K6" s="4" t="s">
        <v>56</v>
      </c>
      <c r="L6" s="6"/>
      <c r="M6" s="21">
        <f>aSIFSTIME</f>
        <v>1E-05</v>
      </c>
      <c r="N6" s="6"/>
      <c r="O6" s="1"/>
      <c r="P6" s="1"/>
      <c r="Q6" s="1"/>
      <c r="R6" s="1"/>
      <c r="S6" s="1"/>
    </row>
    <row r="7" spans="1:19" ht="12.75">
      <c r="A7" s="4" t="s">
        <v>85</v>
      </c>
      <c r="B7" s="6">
        <f>Preamble+PLCP</f>
        <v>192</v>
      </c>
      <c r="C7" s="20">
        <f>B7/bitspersec</f>
        <v>8.727272727272728E-06</v>
      </c>
      <c r="D7" s="21">
        <f t="shared" si="0"/>
        <v>8.472727272727274E-05</v>
      </c>
      <c r="E7" s="1"/>
      <c r="F7" s="6"/>
      <c r="G7" s="6"/>
      <c r="H7" s="6"/>
      <c r="I7" s="6"/>
      <c r="J7" s="1"/>
      <c r="K7" s="4" t="s">
        <v>85</v>
      </c>
      <c r="L7" s="6">
        <f>Preamble+PLCP</f>
        <v>192</v>
      </c>
      <c r="M7" s="20">
        <f>L7/bitspersec</f>
        <v>8.727272727272728E-06</v>
      </c>
      <c r="N7" s="6"/>
      <c r="O7" s="1"/>
      <c r="P7" s="1"/>
      <c r="Q7" s="1"/>
      <c r="R7" s="1"/>
      <c r="S7" s="1"/>
    </row>
    <row r="8" spans="1:19" ht="12.75">
      <c r="A8" s="4" t="s">
        <v>57</v>
      </c>
      <c r="B8" s="6">
        <f>8*14</f>
        <v>112</v>
      </c>
      <c r="C8" s="20">
        <f>B8/bitspersec</f>
        <v>5.090909090909091E-06</v>
      </c>
      <c r="D8" s="21">
        <f t="shared" si="0"/>
        <v>8.981818181818182E-05</v>
      </c>
      <c r="E8" s="1"/>
      <c r="F8" s="6"/>
      <c r="G8" s="6"/>
      <c r="H8" s="6"/>
      <c r="I8" s="6"/>
      <c r="J8" s="1"/>
      <c r="K8" s="4" t="s">
        <v>94</v>
      </c>
      <c r="L8" s="6"/>
      <c r="M8" s="21"/>
      <c r="N8" s="6"/>
      <c r="O8" s="1"/>
      <c r="P8" s="1"/>
      <c r="Q8" s="1"/>
      <c r="R8" s="1"/>
      <c r="S8" s="1"/>
    </row>
    <row r="9" spans="1:19" ht="12.75">
      <c r="A9" s="4" t="s">
        <v>56</v>
      </c>
      <c r="B9" s="6"/>
      <c r="C9" s="20">
        <f>aSIFSTIME</f>
        <v>1E-05</v>
      </c>
      <c r="D9" s="21">
        <f t="shared" si="0"/>
        <v>9.981818181818182E-05</v>
      </c>
      <c r="E9" s="1"/>
      <c r="F9" s="4" t="s">
        <v>64</v>
      </c>
      <c r="G9" s="6"/>
      <c r="H9" s="20">
        <f>aSIFSTIME+(2*aSlotTime)</f>
        <v>5E-05</v>
      </c>
      <c r="I9" s="21">
        <f>0+H9</f>
        <v>5E-05</v>
      </c>
      <c r="J9" s="1"/>
      <c r="K9" s="4" t="s">
        <v>56</v>
      </c>
      <c r="L9" s="6"/>
      <c r="M9" s="21">
        <f>aSIFSTIME</f>
        <v>1E-05</v>
      </c>
      <c r="N9" s="6"/>
      <c r="O9" s="1"/>
      <c r="P9" s="1"/>
      <c r="Q9" s="1"/>
      <c r="R9" s="1"/>
      <c r="S9" s="1"/>
    </row>
    <row r="10" spans="1:19" ht="12.75">
      <c r="A10" s="4" t="s">
        <v>85</v>
      </c>
      <c r="B10" s="6">
        <f>Preamble+PLCP</f>
        <v>192</v>
      </c>
      <c r="C10" s="20">
        <f>B10/bitspersec</f>
        <v>8.727272727272728E-06</v>
      </c>
      <c r="D10" s="21">
        <f t="shared" si="0"/>
        <v>0.00010854545454545455</v>
      </c>
      <c r="E10" s="1"/>
      <c r="F10" s="4" t="s">
        <v>85</v>
      </c>
      <c r="G10" s="6">
        <f>Preamble+PLCP</f>
        <v>192</v>
      </c>
      <c r="H10" s="20">
        <f>G10/bitspersec</f>
        <v>8.727272727272728E-06</v>
      </c>
      <c r="I10" s="21">
        <f aca="true" t="shared" si="1" ref="I10:I18">I9+H10</f>
        <v>5.872727272727273E-05</v>
      </c>
      <c r="J10" s="1"/>
      <c r="K10" s="4" t="s">
        <v>85</v>
      </c>
      <c r="L10" s="6">
        <f>Preamble+PLCP</f>
        <v>192</v>
      </c>
      <c r="M10" s="20">
        <f>L10/bitspersec</f>
        <v>8.727272727272728E-06</v>
      </c>
      <c r="N10" s="6"/>
      <c r="O10" s="1"/>
      <c r="P10" s="1"/>
      <c r="Q10" s="1"/>
      <c r="R10" s="1"/>
      <c r="S10" s="1"/>
    </row>
    <row r="11" spans="1:19" ht="12.75">
      <c r="A11" s="4" t="s">
        <v>58</v>
      </c>
      <c r="B11" s="6">
        <f>8*34</f>
        <v>272</v>
      </c>
      <c r="C11" s="20">
        <f>B11/bitspersec</f>
        <v>1.2363636363636364E-05</v>
      </c>
      <c r="D11" s="21">
        <f>D10+C11+((Payload*8)/bitspersec)</f>
        <v>0.0006714545454545454</v>
      </c>
      <c r="E11" s="1"/>
      <c r="F11" s="4" t="s">
        <v>87</v>
      </c>
      <c r="G11" s="6">
        <f>MacPayLdHdr</f>
        <v>272</v>
      </c>
      <c r="H11" s="20">
        <f>G11/bitspersec</f>
        <v>1.2363636363636364E-05</v>
      </c>
      <c r="I11" s="21">
        <f>I10+H11+((Payload*8)/bitspersec)</f>
        <v>0.0006216363636363636</v>
      </c>
      <c r="J11" s="1"/>
      <c r="K11" s="4" t="s">
        <v>95</v>
      </c>
      <c r="L11" s="6"/>
      <c r="M11" s="21"/>
      <c r="N11" s="6"/>
      <c r="O11" s="1"/>
      <c r="P11" s="1"/>
      <c r="Q11" s="1"/>
      <c r="R11" s="1"/>
      <c r="S11" s="1"/>
    </row>
    <row r="12" spans="1:19" ht="12.75">
      <c r="A12" s="4" t="s">
        <v>56</v>
      </c>
      <c r="B12" s="6"/>
      <c r="C12" s="20">
        <f>aSIFSTIME</f>
        <v>1E-05</v>
      </c>
      <c r="D12" s="21">
        <f t="shared" si="0"/>
        <v>0.0006814545454545454</v>
      </c>
      <c r="E12" s="1"/>
      <c r="F12" s="4" t="s">
        <v>56</v>
      </c>
      <c r="G12" s="6"/>
      <c r="H12" s="20">
        <f>aSIFSTIME</f>
        <v>1E-05</v>
      </c>
      <c r="I12" s="21">
        <f t="shared" si="1"/>
        <v>0.0006316363636363636</v>
      </c>
      <c r="J12" s="1"/>
      <c r="K12" s="4" t="s">
        <v>56</v>
      </c>
      <c r="L12" s="6"/>
      <c r="M12" s="21">
        <f>aSIFSTIME</f>
        <v>1E-05</v>
      </c>
      <c r="N12" s="6"/>
      <c r="O12" s="1"/>
      <c r="P12" s="1"/>
      <c r="Q12" s="1"/>
      <c r="R12" s="1"/>
      <c r="S12" s="1"/>
    </row>
    <row r="13" spans="1:19" ht="12.75">
      <c r="A13" s="4" t="s">
        <v>85</v>
      </c>
      <c r="B13" s="6">
        <f>Preamble+PLCP</f>
        <v>192</v>
      </c>
      <c r="C13" s="20">
        <f>B13/bitspersec</f>
        <v>8.727272727272728E-06</v>
      </c>
      <c r="D13" s="21">
        <f t="shared" si="0"/>
        <v>0.0006901818181818182</v>
      </c>
      <c r="E13" s="1"/>
      <c r="F13" s="4" t="s">
        <v>85</v>
      </c>
      <c r="G13" s="6">
        <f>Preamble+PLCP</f>
        <v>192</v>
      </c>
      <c r="H13" s="20">
        <f>G13/bitspersec</f>
        <v>8.727272727272728E-06</v>
      </c>
      <c r="I13" s="21">
        <f t="shared" si="1"/>
        <v>0.0006403636363636364</v>
      </c>
      <c r="J13" s="1"/>
      <c r="K13" s="4" t="s">
        <v>85</v>
      </c>
      <c r="L13" s="6">
        <f>Preamble+PLCP</f>
        <v>192</v>
      </c>
      <c r="M13" s="20">
        <f>L13/bitspersec</f>
        <v>8.727272727272728E-06</v>
      </c>
      <c r="N13" s="6"/>
      <c r="O13" s="1"/>
      <c r="P13" s="1"/>
      <c r="Q13" s="1"/>
      <c r="R13" s="1"/>
      <c r="S13" s="1"/>
    </row>
    <row r="14" spans="1:19" ht="12.75">
      <c r="A14" s="4" t="s">
        <v>59</v>
      </c>
      <c r="B14" s="6">
        <f>8*14</f>
        <v>112</v>
      </c>
      <c r="C14" s="20">
        <f>B14/bitspersec</f>
        <v>5.090909090909091E-06</v>
      </c>
      <c r="D14" s="21">
        <f t="shared" si="0"/>
        <v>0.0006952727272727273</v>
      </c>
      <c r="E14" s="1"/>
      <c r="F14" s="4" t="s">
        <v>59</v>
      </c>
      <c r="G14" s="6">
        <f>AckOvrHd</f>
        <v>112</v>
      </c>
      <c r="H14" s="20">
        <f>G14/bitspersec</f>
        <v>5.090909090909091E-06</v>
      </c>
      <c r="I14" s="21">
        <f t="shared" si="1"/>
        <v>0.0006454545454545455</v>
      </c>
      <c r="J14" s="1"/>
      <c r="K14" s="4" t="s">
        <v>96</v>
      </c>
      <c r="L14" s="6"/>
      <c r="M14" s="21"/>
      <c r="N14" s="6"/>
      <c r="O14" s="1"/>
      <c r="P14" s="1"/>
      <c r="Q14" s="1"/>
      <c r="R14" s="1"/>
      <c r="S14" s="1"/>
    </row>
    <row r="15" spans="1:19" ht="12.75">
      <c r="A15" s="4" t="s">
        <v>56</v>
      </c>
      <c r="B15" s="6"/>
      <c r="C15" s="20">
        <f>aSIFSTIME</f>
        <v>1E-05</v>
      </c>
      <c r="D15" s="21">
        <f t="shared" si="0"/>
        <v>0.0007052727272727273</v>
      </c>
      <c r="E15" s="1"/>
      <c r="F15" s="4" t="s">
        <v>64</v>
      </c>
      <c r="G15" s="6"/>
      <c r="H15" s="20">
        <f>aSIFSTIME+(2*aSlotTime)</f>
        <v>5E-05</v>
      </c>
      <c r="I15" s="21">
        <f t="shared" si="1"/>
        <v>0.0006954545454545455</v>
      </c>
      <c r="J15" s="1"/>
      <c r="K15" s="20"/>
      <c r="L15" s="6"/>
      <c r="M15" s="21"/>
      <c r="N15" s="6"/>
      <c r="O15" s="1"/>
      <c r="P15" s="1"/>
      <c r="Q15" s="1"/>
      <c r="R15" s="1"/>
      <c r="S15" s="1"/>
    </row>
    <row r="16" spans="1:19" ht="12.75">
      <c r="A16" s="4" t="s">
        <v>85</v>
      </c>
      <c r="B16" s="6">
        <f>Preamble+PLCP</f>
        <v>192</v>
      </c>
      <c r="C16" s="20">
        <f>B16/bitspersec</f>
        <v>8.727272727272728E-06</v>
      </c>
      <c r="D16" s="21">
        <f t="shared" si="0"/>
        <v>0.0007140000000000001</v>
      </c>
      <c r="E16" s="1"/>
      <c r="F16" s="4" t="s">
        <v>85</v>
      </c>
      <c r="G16" s="6">
        <f>Preamble+PLCP</f>
        <v>192</v>
      </c>
      <c r="H16" s="20">
        <f>G16/bitspersec</f>
        <v>8.727272727272728E-06</v>
      </c>
      <c r="I16" s="21">
        <f t="shared" si="1"/>
        <v>0.0007041818181818183</v>
      </c>
      <c r="J16" s="1"/>
      <c r="K16" s="17" t="s">
        <v>135</v>
      </c>
      <c r="L16" s="1"/>
      <c r="M16" s="19"/>
      <c r="N16" s="1"/>
      <c r="O16" s="1"/>
      <c r="P16" s="1"/>
      <c r="Q16" s="1"/>
      <c r="R16" s="1"/>
      <c r="S16" s="1"/>
    </row>
    <row r="17" spans="1:19" ht="12.75">
      <c r="A17" s="4" t="s">
        <v>60</v>
      </c>
      <c r="B17" s="6">
        <f>8*34</f>
        <v>272</v>
      </c>
      <c r="C17" s="20">
        <f>B17/bitspersec</f>
        <v>1.2363636363636364E-05</v>
      </c>
      <c r="D17" s="21">
        <f>D16+C17+((Payload*8)/bitspersec)</f>
        <v>0.0012769090909090911</v>
      </c>
      <c r="E17" s="1"/>
      <c r="F17" s="4" t="s">
        <v>88</v>
      </c>
      <c r="G17" s="6">
        <f>MacPayLdHdr</f>
        <v>272</v>
      </c>
      <c r="H17" s="20">
        <f>G17/bitspersec</f>
        <v>1.2363636363636364E-05</v>
      </c>
      <c r="I17" s="21">
        <f>I16+H17+((Payload*8)/bitspersec)</f>
        <v>0.0012670909090909091</v>
      </c>
      <c r="J17" s="1"/>
      <c r="K17" s="1" t="s">
        <v>136</v>
      </c>
      <c r="L17" s="1"/>
      <c r="M17" s="19"/>
      <c r="N17" s="1"/>
      <c r="O17" s="1"/>
      <c r="P17" s="1"/>
      <c r="Q17" s="1"/>
      <c r="R17" s="1"/>
      <c r="S17" s="1"/>
    </row>
    <row r="18" spans="1:19" ht="12.75">
      <c r="A18" s="4" t="s">
        <v>56</v>
      </c>
      <c r="B18" s="6"/>
      <c r="C18" s="20">
        <f>aSIFSTIME</f>
        <v>1E-05</v>
      </c>
      <c r="D18" s="21">
        <f t="shared" si="0"/>
        <v>0.0012869090909090912</v>
      </c>
      <c r="E18" s="1"/>
      <c r="F18" s="4" t="s">
        <v>56</v>
      </c>
      <c r="G18" s="6"/>
      <c r="H18" s="20">
        <f>aSIFSTIME</f>
        <v>1E-05</v>
      </c>
      <c r="I18" s="21">
        <f t="shared" si="1"/>
        <v>0.0012770909090909091</v>
      </c>
      <c r="J18" s="1"/>
      <c r="K18" s="26" t="s">
        <v>137</v>
      </c>
      <c r="L18" s="1"/>
      <c r="M18" s="19"/>
      <c r="N18" s="1"/>
      <c r="O18" s="1"/>
      <c r="P18" s="1"/>
      <c r="Q18" s="1"/>
      <c r="R18" s="1"/>
      <c r="S18" s="1"/>
    </row>
    <row r="19" spans="1:19" ht="12.75">
      <c r="A19" s="4" t="s">
        <v>85</v>
      </c>
      <c r="B19" s="6">
        <f>Preamble+PLCP</f>
        <v>192</v>
      </c>
      <c r="C19" s="20">
        <f>B19/bitspersec</f>
        <v>8.727272727272728E-06</v>
      </c>
      <c r="D19" s="21">
        <f t="shared" si="0"/>
        <v>0.0012956363636363638</v>
      </c>
      <c r="E19" s="1"/>
      <c r="F19" s="4" t="s">
        <v>85</v>
      </c>
      <c r="G19" s="6">
        <f>Preamble+PLCP</f>
        <v>192</v>
      </c>
      <c r="H19" s="20">
        <f>G19/bitspersec</f>
        <v>8.727272727272728E-06</v>
      </c>
      <c r="I19" s="21">
        <f aca="true" t="shared" si="2" ref="I19:I69">I18+H19</f>
        <v>0.0012858181818181818</v>
      </c>
      <c r="J19" s="1"/>
      <c r="K19" s="1"/>
      <c r="L19" s="1"/>
      <c r="M19" s="19"/>
      <c r="N19" s="1"/>
      <c r="O19" s="1"/>
      <c r="P19" s="1"/>
      <c r="Q19" s="1"/>
      <c r="R19" s="1"/>
      <c r="S19" s="1"/>
    </row>
    <row r="20" spans="1:19" ht="12.75">
      <c r="A20" s="4" t="s">
        <v>61</v>
      </c>
      <c r="B20" s="6">
        <f>8*14</f>
        <v>112</v>
      </c>
      <c r="C20" s="20">
        <f>B20/bitspersec</f>
        <v>5.090909090909091E-06</v>
      </c>
      <c r="D20" s="21">
        <f t="shared" si="0"/>
        <v>0.0013007272727272728</v>
      </c>
      <c r="E20" s="1"/>
      <c r="F20" s="4" t="s">
        <v>61</v>
      </c>
      <c r="G20" s="6">
        <f>AckOvrHd</f>
        <v>112</v>
      </c>
      <c r="H20" s="20">
        <f>G20/bitspersec</f>
        <v>5.090909090909091E-06</v>
      </c>
      <c r="I20" s="21">
        <f t="shared" si="2"/>
        <v>0.0012909090909090908</v>
      </c>
      <c r="J20" s="1"/>
      <c r="K20" s="26"/>
      <c r="L20" s="1"/>
      <c r="M20" s="19"/>
      <c r="N20" s="1"/>
      <c r="O20" s="1"/>
      <c r="P20" s="1"/>
      <c r="Q20" s="1"/>
      <c r="R20" s="1"/>
      <c r="S20" s="1"/>
    </row>
    <row r="21" spans="1:19" ht="12.75">
      <c r="A21" s="4" t="s">
        <v>56</v>
      </c>
      <c r="B21" s="6"/>
      <c r="C21" s="20">
        <f>aSIFSTIME</f>
        <v>1E-05</v>
      </c>
      <c r="D21" s="21">
        <f t="shared" si="0"/>
        <v>0.0013107272727272729</v>
      </c>
      <c r="E21" s="1"/>
      <c r="F21" s="4" t="s">
        <v>64</v>
      </c>
      <c r="G21" s="6"/>
      <c r="H21" s="20">
        <f>aSIFSTIME+(2*aSlotTime)</f>
        <v>5E-05</v>
      </c>
      <c r="I21" s="21">
        <f t="shared" si="2"/>
        <v>0.0013409090909090907</v>
      </c>
      <c r="J21" s="1"/>
      <c r="K21" s="267"/>
      <c r="L21" s="1"/>
      <c r="M21" s="19"/>
      <c r="N21" s="1"/>
      <c r="O21" s="1"/>
      <c r="P21" s="1"/>
      <c r="Q21" s="1"/>
      <c r="R21" s="1"/>
      <c r="S21" s="1"/>
    </row>
    <row r="22" spans="1:19" ht="12.75">
      <c r="A22" s="4" t="s">
        <v>85</v>
      </c>
      <c r="B22" s="6">
        <f>Preamble+PLCP</f>
        <v>192</v>
      </c>
      <c r="C22" s="20">
        <f>B22/bitspersec</f>
        <v>8.727272727272728E-06</v>
      </c>
      <c r="D22" s="21">
        <f t="shared" si="0"/>
        <v>0.0013194545454545455</v>
      </c>
      <c r="E22" s="1"/>
      <c r="F22" s="4" t="s">
        <v>85</v>
      </c>
      <c r="G22" s="6">
        <f>Preamble+PLCP</f>
        <v>192</v>
      </c>
      <c r="H22" s="20">
        <f>G22/bitspersec</f>
        <v>8.727272727272728E-06</v>
      </c>
      <c r="I22" s="21">
        <f t="shared" si="2"/>
        <v>0.0013496363636363634</v>
      </c>
      <c r="J22" s="1"/>
      <c r="K22" s="1"/>
      <c r="L22" s="1"/>
      <c r="M22" s="19"/>
      <c r="N22" s="1"/>
      <c r="O22" s="1"/>
      <c r="P22" s="1"/>
      <c r="Q22" s="1"/>
      <c r="R22" s="1"/>
      <c r="S22" s="1"/>
    </row>
    <row r="23" spans="1:19" ht="12.75">
      <c r="A23" s="4" t="s">
        <v>62</v>
      </c>
      <c r="B23" s="6">
        <f>8*34</f>
        <v>272</v>
      </c>
      <c r="C23" s="20">
        <f>B23/bitspersec</f>
        <v>1.2363636363636364E-05</v>
      </c>
      <c r="D23" s="21">
        <f>D22+C23+((Payload*8)/bitspersec)</f>
        <v>0.0018823636363636364</v>
      </c>
      <c r="E23" s="1"/>
      <c r="F23" s="4" t="s">
        <v>99</v>
      </c>
      <c r="G23" s="6">
        <f>MacPayLdHdr</f>
        <v>272</v>
      </c>
      <c r="H23" s="20">
        <f>G23/bitspersec</f>
        <v>1.2363636363636364E-05</v>
      </c>
      <c r="I23" s="21">
        <f>I22+H23+((Payload*8)/bitspersec)</f>
        <v>0.001912545454545454</v>
      </c>
      <c r="J23" s="1"/>
      <c r="K23" s="1"/>
      <c r="L23" s="1"/>
      <c r="M23" s="19"/>
      <c r="N23" s="1"/>
      <c r="O23" s="1"/>
      <c r="P23" s="1"/>
      <c r="Q23" s="1"/>
      <c r="R23" s="1"/>
      <c r="S23" s="1"/>
    </row>
    <row r="24" spans="1:19" ht="12.75">
      <c r="A24" s="4" t="s">
        <v>56</v>
      </c>
      <c r="B24" s="6"/>
      <c r="C24" s="20">
        <f>aSIFSTIME</f>
        <v>1E-05</v>
      </c>
      <c r="D24" s="21">
        <f t="shared" si="0"/>
        <v>0.0018923636363636365</v>
      </c>
      <c r="E24" s="1"/>
      <c r="F24" s="4" t="s">
        <v>56</v>
      </c>
      <c r="G24" s="6"/>
      <c r="H24" s="20">
        <f>aSIFSTIME</f>
        <v>1E-05</v>
      </c>
      <c r="I24" s="21">
        <f t="shared" si="2"/>
        <v>0.0019225454545454541</v>
      </c>
      <c r="J24" s="1"/>
      <c r="K24" s="1"/>
      <c r="L24" s="1"/>
      <c r="M24" s="19"/>
      <c r="N24" s="1"/>
      <c r="O24" s="1"/>
      <c r="P24" s="1"/>
      <c r="Q24" s="1"/>
      <c r="R24" s="1"/>
      <c r="S24" s="1"/>
    </row>
    <row r="25" spans="1:19" ht="12.75">
      <c r="A25" s="4" t="s">
        <v>85</v>
      </c>
      <c r="B25" s="6">
        <f>Preamble+PLCP</f>
        <v>192</v>
      </c>
      <c r="C25" s="20">
        <f>B25/bitspersec</f>
        <v>8.727272727272728E-06</v>
      </c>
      <c r="D25" s="21">
        <f t="shared" si="0"/>
        <v>0.0019010909090909091</v>
      </c>
      <c r="E25" s="1"/>
      <c r="F25" s="4" t="s">
        <v>85</v>
      </c>
      <c r="G25" s="6">
        <f>Preamble+PLCP</f>
        <v>192</v>
      </c>
      <c r="H25" s="20">
        <f>G25/bitspersec</f>
        <v>8.727272727272728E-06</v>
      </c>
      <c r="I25" s="21">
        <f t="shared" si="2"/>
        <v>0.0019312727272727268</v>
      </c>
      <c r="J25" s="1"/>
      <c r="K25" s="1"/>
      <c r="L25" s="1"/>
      <c r="M25" s="19"/>
      <c r="N25" s="1"/>
      <c r="O25" s="1"/>
      <c r="P25" s="1"/>
      <c r="Q25" s="1"/>
      <c r="R25" s="1"/>
      <c r="S25" s="1"/>
    </row>
    <row r="26" spans="1:19" ht="12.75">
      <c r="A26" s="4" t="s">
        <v>63</v>
      </c>
      <c r="B26" s="6">
        <f>8*14</f>
        <v>112</v>
      </c>
      <c r="C26" s="20">
        <f>B26/bitspersec</f>
        <v>5.090909090909091E-06</v>
      </c>
      <c r="D26" s="21">
        <f t="shared" si="0"/>
        <v>0.0019061818181818182</v>
      </c>
      <c r="E26" s="1"/>
      <c r="F26" s="4" t="s">
        <v>63</v>
      </c>
      <c r="G26" s="6">
        <f>AckOvrHd</f>
        <v>112</v>
      </c>
      <c r="H26" s="20">
        <f>G26/bitspersec</f>
        <v>5.090909090909091E-06</v>
      </c>
      <c r="I26" s="21">
        <f t="shared" si="2"/>
        <v>0.0019363636363636358</v>
      </c>
      <c r="J26" s="1"/>
      <c r="K26" s="1"/>
      <c r="L26" s="1"/>
      <c r="M26" s="19"/>
      <c r="N26" s="1"/>
      <c r="O26" s="1"/>
      <c r="P26" s="1"/>
      <c r="Q26" s="1"/>
      <c r="R26" s="1"/>
      <c r="S26" s="1"/>
    </row>
    <row r="27" spans="1:19" ht="12.75">
      <c r="A27" s="4" t="s">
        <v>56</v>
      </c>
      <c r="B27" s="6"/>
      <c r="C27" s="20">
        <f>aSIFSTIME</f>
        <v>1E-05</v>
      </c>
      <c r="D27" s="21">
        <f t="shared" si="0"/>
        <v>0.0019161818181818182</v>
      </c>
      <c r="E27" s="1"/>
      <c r="F27" s="4" t="s">
        <v>64</v>
      </c>
      <c r="G27" s="6"/>
      <c r="H27" s="20">
        <f>aSIFSTIME+(2*aSlotTime)</f>
        <v>5E-05</v>
      </c>
      <c r="I27" s="21">
        <f t="shared" si="2"/>
        <v>0.001986363636363636</v>
      </c>
      <c r="J27" s="1"/>
      <c r="K27" s="1"/>
      <c r="L27" s="1"/>
      <c r="M27" s="19"/>
      <c r="N27" s="1"/>
      <c r="O27" s="1"/>
      <c r="P27" s="1"/>
      <c r="Q27" s="1"/>
      <c r="R27" s="1"/>
      <c r="S27" s="1"/>
    </row>
    <row r="28" spans="1:19" ht="12.75">
      <c r="A28" s="4" t="s">
        <v>85</v>
      </c>
      <c r="B28" s="6">
        <f>Preamble+PLCP</f>
        <v>192</v>
      </c>
      <c r="C28" s="20">
        <f>B28/bitspersec</f>
        <v>8.727272727272728E-06</v>
      </c>
      <c r="D28" s="21">
        <f t="shared" si="0"/>
        <v>0.0019249090909090908</v>
      </c>
      <c r="E28" s="1"/>
      <c r="F28" s="4" t="s">
        <v>85</v>
      </c>
      <c r="G28" s="6">
        <f>Preamble+PLCP</f>
        <v>192</v>
      </c>
      <c r="H28" s="20">
        <f>G28/bitspersec</f>
        <v>8.727272727272728E-06</v>
      </c>
      <c r="I28" s="21">
        <f t="shared" si="2"/>
        <v>0.0019950909090909086</v>
      </c>
      <c r="J28" s="1"/>
      <c r="K28" s="1"/>
      <c r="L28" s="1"/>
      <c r="M28" s="19"/>
      <c r="N28" s="1"/>
      <c r="O28" s="1"/>
      <c r="P28" s="1"/>
      <c r="Q28" s="1"/>
      <c r="R28" s="1"/>
      <c r="S28" s="1"/>
    </row>
    <row r="29" spans="1:19" ht="12.75">
      <c r="A29" s="4" t="s">
        <v>65</v>
      </c>
      <c r="B29" s="6">
        <f>8*34</f>
        <v>272</v>
      </c>
      <c r="C29" s="20">
        <f>B29/bitspersec</f>
        <v>1.2363636363636364E-05</v>
      </c>
      <c r="D29" s="21">
        <f>D28+C29+((Payload*8)/bitspersec)</f>
        <v>0.0024878181818181818</v>
      </c>
      <c r="E29" s="1"/>
      <c r="F29" s="4" t="s">
        <v>87</v>
      </c>
      <c r="G29" s="6">
        <f>MacPayLdHdr</f>
        <v>272</v>
      </c>
      <c r="H29" s="20">
        <f>G29/bitspersec</f>
        <v>1.2363636363636364E-05</v>
      </c>
      <c r="I29" s="21">
        <f>I28+H29+((Payload*8)/bitspersec)</f>
        <v>0.0025579999999999995</v>
      </c>
      <c r="J29" s="1"/>
      <c r="K29" s="1"/>
      <c r="L29" s="1"/>
      <c r="M29" s="19"/>
      <c r="N29" s="1"/>
      <c r="O29" s="1"/>
      <c r="P29" s="1"/>
      <c r="Q29" s="1"/>
      <c r="R29" s="1"/>
      <c r="S29" s="1"/>
    </row>
    <row r="30" spans="1:19" ht="12.75">
      <c r="A30" s="4" t="s">
        <v>56</v>
      </c>
      <c r="B30" s="6"/>
      <c r="C30" s="20">
        <f>aSIFSTIME</f>
        <v>1E-05</v>
      </c>
      <c r="D30" s="21">
        <f t="shared" si="0"/>
        <v>0.0024978181818181818</v>
      </c>
      <c r="E30" s="1"/>
      <c r="F30" s="4" t="s">
        <v>56</v>
      </c>
      <c r="G30" s="6"/>
      <c r="H30" s="20">
        <f>aSIFSTIME</f>
        <v>1E-05</v>
      </c>
      <c r="I30" s="21">
        <f t="shared" si="2"/>
        <v>0.0025679999999999995</v>
      </c>
      <c r="J30" s="1"/>
      <c r="K30" s="1"/>
      <c r="L30" s="1"/>
      <c r="M30" s="19"/>
      <c r="N30" s="1"/>
      <c r="O30" s="1"/>
      <c r="P30" s="1"/>
      <c r="Q30" s="1"/>
      <c r="R30" s="1"/>
      <c r="S30" s="1"/>
    </row>
    <row r="31" spans="1:19" ht="12.75">
      <c r="A31" s="4" t="s">
        <v>85</v>
      </c>
      <c r="B31" s="6">
        <f>Preamble+PLCP</f>
        <v>192</v>
      </c>
      <c r="C31" s="20">
        <f>B31/bitspersec</f>
        <v>8.727272727272728E-06</v>
      </c>
      <c r="D31" s="21">
        <f t="shared" si="0"/>
        <v>0.0025065454545454544</v>
      </c>
      <c r="E31" s="1"/>
      <c r="F31" s="4" t="s">
        <v>85</v>
      </c>
      <c r="G31" s="6">
        <f>Preamble+PLCP</f>
        <v>192</v>
      </c>
      <c r="H31" s="20">
        <f>G31/bitspersec</f>
        <v>8.727272727272728E-06</v>
      </c>
      <c r="I31" s="21">
        <f t="shared" si="2"/>
        <v>0.002576727272727272</v>
      </c>
      <c r="J31" s="1"/>
      <c r="K31" s="1"/>
      <c r="L31" s="1"/>
      <c r="M31" s="19"/>
      <c r="N31" s="1"/>
      <c r="O31" s="1"/>
      <c r="P31" s="1"/>
      <c r="Q31" s="1"/>
      <c r="R31" s="1"/>
      <c r="S31" s="1"/>
    </row>
    <row r="32" spans="1:19" ht="12.75">
      <c r="A32" s="4" t="s">
        <v>66</v>
      </c>
      <c r="B32" s="6">
        <f>8*14</f>
        <v>112</v>
      </c>
      <c r="C32" s="20">
        <f>B32/bitspersec</f>
        <v>5.090909090909091E-06</v>
      </c>
      <c r="D32" s="21">
        <f t="shared" si="0"/>
        <v>0.0025116363636363635</v>
      </c>
      <c r="E32" s="1"/>
      <c r="F32" s="4" t="s">
        <v>59</v>
      </c>
      <c r="G32" s="6">
        <f>AckOvrHd</f>
        <v>112</v>
      </c>
      <c r="H32" s="20">
        <f>G32/bitspersec</f>
        <v>5.090909090909091E-06</v>
      </c>
      <c r="I32" s="21">
        <f t="shared" si="2"/>
        <v>0.0025818181818181812</v>
      </c>
      <c r="J32" s="1"/>
      <c r="L32" s="1"/>
      <c r="M32" s="19"/>
      <c r="N32" s="1"/>
      <c r="O32" s="1"/>
      <c r="P32" s="1"/>
      <c r="Q32" s="1"/>
      <c r="R32" s="1"/>
      <c r="S32" s="1"/>
    </row>
    <row r="33" spans="1:19" ht="12.75">
      <c r="A33" s="4" t="s">
        <v>56</v>
      </c>
      <c r="B33" s="6"/>
      <c r="C33" s="20">
        <f>aSIFSTIME</f>
        <v>1E-05</v>
      </c>
      <c r="D33" s="21">
        <f t="shared" si="0"/>
        <v>0.0025216363636363635</v>
      </c>
      <c r="E33" s="1"/>
      <c r="F33" s="4" t="s">
        <v>64</v>
      </c>
      <c r="G33" s="6"/>
      <c r="H33" s="20">
        <f>aSIFSTIME+(2*aSlotTime)</f>
        <v>5E-05</v>
      </c>
      <c r="I33" s="21">
        <f t="shared" si="2"/>
        <v>0.0026318181818181813</v>
      </c>
      <c r="J33" s="1"/>
      <c r="L33" s="1"/>
      <c r="M33" s="19"/>
      <c r="N33" s="1"/>
      <c r="O33" s="1"/>
      <c r="P33" s="1"/>
      <c r="Q33" s="1"/>
      <c r="R33" s="1"/>
      <c r="S33" s="1"/>
    </row>
    <row r="34" spans="1:19" ht="12.75">
      <c r="A34" s="4" t="s">
        <v>85</v>
      </c>
      <c r="B34" s="6">
        <f>Preamble+PLCP</f>
        <v>192</v>
      </c>
      <c r="C34" s="20">
        <f>B34/bitspersec</f>
        <v>8.727272727272728E-06</v>
      </c>
      <c r="D34" s="21">
        <f t="shared" si="0"/>
        <v>0.002530363636363636</v>
      </c>
      <c r="E34" s="1"/>
      <c r="F34" s="4" t="s">
        <v>85</v>
      </c>
      <c r="G34" s="6">
        <f>Preamble+PLCP</f>
        <v>192</v>
      </c>
      <c r="H34" s="20">
        <f>G34/bitspersec</f>
        <v>8.727272727272728E-06</v>
      </c>
      <c r="I34" s="21">
        <f t="shared" si="2"/>
        <v>0.002640545454545454</v>
      </c>
      <c r="J34" s="1"/>
      <c r="K34" s="1"/>
      <c r="L34" s="1"/>
      <c r="M34" s="19"/>
      <c r="N34" s="1"/>
      <c r="O34" s="1"/>
      <c r="P34" s="1"/>
      <c r="Q34" s="1"/>
      <c r="R34" s="1"/>
      <c r="S34" s="1"/>
    </row>
    <row r="35" spans="1:19" ht="12.75">
      <c r="A35" s="4" t="s">
        <v>67</v>
      </c>
      <c r="B35" s="6">
        <f>8*34</f>
        <v>272</v>
      </c>
      <c r="C35" s="20">
        <f>B35/bitspersec</f>
        <v>1.2363636363636364E-05</v>
      </c>
      <c r="D35" s="21">
        <f>D34+C35+((Payload*8)/bitspersec)</f>
        <v>0.003093272727272727</v>
      </c>
      <c r="E35" s="1"/>
      <c r="F35" s="4" t="s">
        <v>88</v>
      </c>
      <c r="G35" s="6">
        <f>MacPayLdHdr</f>
        <v>272</v>
      </c>
      <c r="H35" s="20">
        <f>G35/bitspersec</f>
        <v>1.2363636363636364E-05</v>
      </c>
      <c r="I35" s="21">
        <f>I34+H35+((Payload*8)/bitspersec)</f>
        <v>0.003203454545454545</v>
      </c>
      <c r="J35" s="1"/>
      <c r="K35" s="1"/>
      <c r="L35" s="1"/>
      <c r="M35" s="19"/>
      <c r="N35" s="1"/>
      <c r="O35" s="1"/>
      <c r="P35" s="1"/>
      <c r="Q35" s="1"/>
      <c r="R35" s="1"/>
      <c r="S35" s="1"/>
    </row>
    <row r="36" spans="1:19" ht="12.75">
      <c r="A36" s="4" t="s">
        <v>56</v>
      </c>
      <c r="B36" s="6"/>
      <c r="C36" s="20">
        <f>aSIFSTIME</f>
        <v>1E-05</v>
      </c>
      <c r="D36" s="21">
        <f t="shared" si="0"/>
        <v>0.003103272727272727</v>
      </c>
      <c r="E36" s="1"/>
      <c r="F36" s="4" t="s">
        <v>56</v>
      </c>
      <c r="G36" s="6"/>
      <c r="H36" s="20">
        <f>aSIFSTIME</f>
        <v>1E-05</v>
      </c>
      <c r="I36" s="21">
        <f t="shared" si="2"/>
        <v>0.003213454545454545</v>
      </c>
      <c r="J36" s="1"/>
      <c r="K36" s="1" t="s">
        <v>138</v>
      </c>
      <c r="L36" s="1"/>
      <c r="M36" s="19"/>
      <c r="N36" s="1"/>
      <c r="O36" s="1"/>
      <c r="P36" s="1"/>
      <c r="Q36" s="1"/>
      <c r="R36" s="1"/>
      <c r="S36" s="1"/>
    </row>
    <row r="37" spans="1:19" ht="12.75">
      <c r="A37" s="4" t="s">
        <v>85</v>
      </c>
      <c r="B37" s="6">
        <f>Preamble+PLCP</f>
        <v>192</v>
      </c>
      <c r="C37" s="20">
        <f>B37/bitspersec</f>
        <v>8.727272727272728E-06</v>
      </c>
      <c r="D37" s="21">
        <f t="shared" si="0"/>
        <v>0.0031119999999999997</v>
      </c>
      <c r="E37" s="1"/>
      <c r="F37" s="4" t="s">
        <v>85</v>
      </c>
      <c r="G37" s="6">
        <f>Preamble+PLCP</f>
        <v>192</v>
      </c>
      <c r="H37" s="20">
        <f>G37/bitspersec</f>
        <v>8.727272727272728E-06</v>
      </c>
      <c r="I37" s="21">
        <f t="shared" si="2"/>
        <v>0.0032221818181818176</v>
      </c>
      <c r="J37" s="1"/>
      <c r="K37" s="1" t="s">
        <v>139</v>
      </c>
      <c r="L37" s="1"/>
      <c r="M37" s="19"/>
      <c r="N37" s="1"/>
      <c r="O37" s="1"/>
      <c r="P37" s="1"/>
      <c r="Q37" s="1"/>
      <c r="R37" s="1"/>
      <c r="S37" s="1"/>
    </row>
    <row r="38" spans="1:19" ht="12.75">
      <c r="A38" s="4" t="s">
        <v>68</v>
      </c>
      <c r="B38" s="6">
        <f>8*14</f>
        <v>112</v>
      </c>
      <c r="C38" s="20">
        <f>B38/bitspersec</f>
        <v>5.090909090909091E-06</v>
      </c>
      <c r="D38" s="21">
        <f t="shared" si="0"/>
        <v>0.0031170909090909088</v>
      </c>
      <c r="E38" s="1"/>
      <c r="F38" s="4" t="s">
        <v>100</v>
      </c>
      <c r="G38" s="6">
        <f>AckOvrHd</f>
        <v>112</v>
      </c>
      <c r="H38" s="20">
        <f>G38/bitspersec</f>
        <v>5.090909090909091E-06</v>
      </c>
      <c r="I38" s="21">
        <f t="shared" si="2"/>
        <v>0.0032272727272727266</v>
      </c>
      <c r="J38" s="1"/>
      <c r="K38" s="1"/>
      <c r="L38" s="1"/>
      <c r="M38" s="19"/>
      <c r="N38" s="1"/>
      <c r="O38" s="1"/>
      <c r="P38" s="1"/>
      <c r="Q38" s="1"/>
      <c r="R38" s="1"/>
      <c r="S38" s="1"/>
    </row>
    <row r="39" spans="1:19" ht="12.75">
      <c r="A39" s="4" t="s">
        <v>56</v>
      </c>
      <c r="B39" s="6"/>
      <c r="C39" s="20">
        <f>aSIFSTIME</f>
        <v>1E-05</v>
      </c>
      <c r="D39" s="21">
        <f t="shared" si="0"/>
        <v>0.003127090909090909</v>
      </c>
      <c r="E39" s="1"/>
      <c r="F39" s="4" t="s">
        <v>64</v>
      </c>
      <c r="G39" s="6"/>
      <c r="H39" s="20">
        <f>aSIFSTIME+(2*aSlotTime)</f>
        <v>5E-05</v>
      </c>
      <c r="I39" s="21">
        <f t="shared" si="2"/>
        <v>0.0032772727272727268</v>
      </c>
      <c r="J39" s="1"/>
      <c r="K39" s="4" t="s">
        <v>64</v>
      </c>
      <c r="L39" s="7"/>
      <c r="M39" s="20">
        <f>aSIFSTIME+(2*aSlotTime)</f>
        <v>5E-05</v>
      </c>
      <c r="N39" s="21">
        <f>0+M39</f>
        <v>5E-05</v>
      </c>
      <c r="O39" s="1"/>
      <c r="P39" s="1"/>
      <c r="Q39" s="1"/>
      <c r="R39" s="1"/>
      <c r="S39" s="1"/>
    </row>
    <row r="40" spans="1:19" ht="12.75">
      <c r="A40" s="4" t="s">
        <v>85</v>
      </c>
      <c r="B40" s="6">
        <f>Preamble+PLCP</f>
        <v>192</v>
      </c>
      <c r="C40" s="20">
        <f>B40/bitspersec</f>
        <v>8.727272727272728E-06</v>
      </c>
      <c r="D40" s="21">
        <f t="shared" si="0"/>
        <v>0.0031358181818181815</v>
      </c>
      <c r="E40" s="1"/>
      <c r="F40" s="4" t="s">
        <v>85</v>
      </c>
      <c r="G40" s="6">
        <f>Preamble+PLCP</f>
        <v>192</v>
      </c>
      <c r="H40" s="20">
        <f>G40/bitspersec</f>
        <v>8.727272727272728E-06</v>
      </c>
      <c r="I40" s="21">
        <f t="shared" si="2"/>
        <v>0.0032859999999999994</v>
      </c>
      <c r="J40" s="1"/>
      <c r="K40" s="4" t="s">
        <v>85</v>
      </c>
      <c r="L40" s="6">
        <f>Preamble+PLCP</f>
        <v>192</v>
      </c>
      <c r="M40" s="20">
        <f>L40/bitspersec</f>
        <v>8.727272727272728E-06</v>
      </c>
      <c r="N40" s="21">
        <f>N39+M40</f>
        <v>5.872727272727273E-05</v>
      </c>
      <c r="O40" s="1"/>
      <c r="P40" s="1"/>
      <c r="Q40" s="1"/>
      <c r="R40" s="1"/>
      <c r="S40" s="1"/>
    </row>
    <row r="41" spans="1:19" ht="12.75">
      <c r="A41" s="4" t="s">
        <v>69</v>
      </c>
      <c r="B41" s="6">
        <f>8*34</f>
        <v>272</v>
      </c>
      <c r="C41" s="20">
        <f>B41/bitspersec</f>
        <v>1.2363636363636364E-05</v>
      </c>
      <c r="D41" s="21">
        <f>D40+C41+((Payload*8)/bitspersec)</f>
        <v>0.0036987272727272724</v>
      </c>
      <c r="E41" s="1"/>
      <c r="F41" s="4" t="s">
        <v>99</v>
      </c>
      <c r="G41" s="6">
        <f>MacPayLdHdr</f>
        <v>272</v>
      </c>
      <c r="H41" s="20">
        <f>G41/bitspersec</f>
        <v>1.2363636363636364E-05</v>
      </c>
      <c r="I41" s="21">
        <f>I40+H41+((Payload*8)/bitspersec)</f>
        <v>0.0038489090909090903</v>
      </c>
      <c r="J41" s="1"/>
      <c r="K41" s="4" t="s">
        <v>88</v>
      </c>
      <c r="L41" s="6">
        <f>MacPayLdHdr</f>
        <v>272</v>
      </c>
      <c r="M41" s="20">
        <f>L41/bitspersec</f>
        <v>1.2363636363636364E-05</v>
      </c>
      <c r="N41" s="21">
        <f>N40+M41+((Payload*8)/bitspersec)</f>
        <v>0.0006216363636363636</v>
      </c>
      <c r="O41" s="1"/>
      <c r="P41" s="1"/>
      <c r="Q41" s="1"/>
      <c r="R41" s="1"/>
      <c r="S41" s="1"/>
    </row>
    <row r="42" spans="1:19" ht="12.75">
      <c r="A42" s="4" t="s">
        <v>56</v>
      </c>
      <c r="B42" s="6"/>
      <c r="C42" s="20">
        <f>aSIFSTIME</f>
        <v>1E-05</v>
      </c>
      <c r="D42" s="21">
        <f t="shared" si="0"/>
        <v>0.0037087272727272724</v>
      </c>
      <c r="E42" s="1"/>
      <c r="F42" s="4" t="s">
        <v>56</v>
      </c>
      <c r="G42" s="6"/>
      <c r="H42" s="20">
        <f>aSIFSTIME</f>
        <v>1E-05</v>
      </c>
      <c r="I42" s="21">
        <f t="shared" si="2"/>
        <v>0.0038589090909090904</v>
      </c>
      <c r="J42" s="1"/>
      <c r="K42" s="4" t="s">
        <v>56</v>
      </c>
      <c r="L42" s="6"/>
      <c r="M42" s="20">
        <f>aSIFSTIME</f>
        <v>1E-05</v>
      </c>
      <c r="N42" s="21">
        <f>N41+M42</f>
        <v>0.0006316363636363636</v>
      </c>
      <c r="O42" s="1"/>
      <c r="P42" s="1"/>
      <c r="Q42" s="1"/>
      <c r="R42" s="1"/>
      <c r="S42" s="1"/>
    </row>
    <row r="43" spans="1:19" ht="12.75">
      <c r="A43" s="4" t="s">
        <v>85</v>
      </c>
      <c r="B43" s="6">
        <f>Preamble+PLCP</f>
        <v>192</v>
      </c>
      <c r="C43" s="20">
        <f>B43/bitspersec</f>
        <v>8.727272727272728E-06</v>
      </c>
      <c r="D43" s="21">
        <f t="shared" si="0"/>
        <v>0.003717454545454545</v>
      </c>
      <c r="E43" s="1"/>
      <c r="F43" s="4" t="s">
        <v>85</v>
      </c>
      <c r="G43" s="6">
        <f>Preamble+PLCP</f>
        <v>192</v>
      </c>
      <c r="H43" s="20">
        <f>G43/bitspersec</f>
        <v>8.727272727272728E-06</v>
      </c>
      <c r="I43" s="21">
        <f t="shared" si="2"/>
        <v>0.003867636363636363</v>
      </c>
      <c r="J43" s="1"/>
      <c r="K43" s="4" t="s">
        <v>85</v>
      </c>
      <c r="L43" s="6">
        <f>Preamble+PLCP</f>
        <v>192</v>
      </c>
      <c r="M43" s="20">
        <f>L43/bitspersec</f>
        <v>8.727272727272728E-06</v>
      </c>
      <c r="N43" s="21">
        <f>N42+M43</f>
        <v>0.0006403636363636364</v>
      </c>
      <c r="O43" s="1"/>
      <c r="P43" s="1"/>
      <c r="Q43" s="1"/>
      <c r="R43" s="1"/>
      <c r="S43" s="1"/>
    </row>
    <row r="44" spans="1:19" ht="12.75">
      <c r="A44" s="4" t="s">
        <v>70</v>
      </c>
      <c r="B44" s="6">
        <f>8*14</f>
        <v>112</v>
      </c>
      <c r="C44" s="20">
        <f>B44/bitspersec</f>
        <v>5.090909090909091E-06</v>
      </c>
      <c r="D44" s="21">
        <f t="shared" si="0"/>
        <v>0.003722545454545454</v>
      </c>
      <c r="E44" s="1"/>
      <c r="F44" s="4" t="s">
        <v>101</v>
      </c>
      <c r="G44" s="6">
        <f>AckOvrHd</f>
        <v>112</v>
      </c>
      <c r="H44" s="20">
        <f>G44/bitspersec</f>
        <v>5.090909090909091E-06</v>
      </c>
      <c r="I44" s="21">
        <f t="shared" si="2"/>
        <v>0.003872727272727272</v>
      </c>
      <c r="J44" s="1"/>
      <c r="K44" s="4" t="s">
        <v>61</v>
      </c>
      <c r="L44" s="6">
        <f>AckOvrHd</f>
        <v>112</v>
      </c>
      <c r="M44" s="20">
        <f>L44/bitspersec</f>
        <v>5.090909090909091E-06</v>
      </c>
      <c r="N44" s="21">
        <f>N43+M44</f>
        <v>0.0006454545454545455</v>
      </c>
      <c r="O44" s="1"/>
      <c r="P44" s="1"/>
      <c r="Q44" s="1"/>
      <c r="R44" s="1"/>
      <c r="S44" s="1"/>
    </row>
    <row r="45" spans="1:19" ht="12.75">
      <c r="A45" s="4" t="s">
        <v>56</v>
      </c>
      <c r="B45" s="6"/>
      <c r="C45" s="20">
        <f>aSIFSTIME</f>
        <v>1E-05</v>
      </c>
      <c r="D45" s="21">
        <f t="shared" si="0"/>
        <v>0.003732545454545454</v>
      </c>
      <c r="E45" s="1"/>
      <c r="F45" s="4" t="s">
        <v>64</v>
      </c>
      <c r="G45" s="6"/>
      <c r="H45" s="20">
        <f>aSIFSTIME+(2*aSlotTime)</f>
        <v>5E-05</v>
      </c>
      <c r="I45" s="21">
        <f t="shared" si="2"/>
        <v>0.003922727272727272</v>
      </c>
      <c r="J45" s="1"/>
      <c r="K45" s="4" t="s">
        <v>64</v>
      </c>
      <c r="L45" s="6"/>
      <c r="M45" s="20">
        <f>aSIFSTIME+(2*aSlotTime)</f>
        <v>5E-05</v>
      </c>
      <c r="N45" s="21">
        <f>N44+M45</f>
        <v>0.0006954545454545455</v>
      </c>
      <c r="O45" s="1"/>
      <c r="P45" s="1"/>
      <c r="Q45" s="1"/>
      <c r="R45" s="1"/>
      <c r="S45" s="1"/>
    </row>
    <row r="46" spans="1:19" ht="12.75">
      <c r="A46" s="4" t="s">
        <v>85</v>
      </c>
      <c r="B46" s="6">
        <f>Preamble+PLCP</f>
        <v>192</v>
      </c>
      <c r="C46" s="20">
        <f>B46/bitspersec</f>
        <v>8.727272727272728E-06</v>
      </c>
      <c r="D46" s="21">
        <f t="shared" si="0"/>
        <v>0.0037412727272727268</v>
      </c>
      <c r="E46" s="1"/>
      <c r="F46" s="4" t="s">
        <v>85</v>
      </c>
      <c r="G46" s="6">
        <f>Preamble+PLCP</f>
        <v>192</v>
      </c>
      <c r="H46" s="20">
        <f>G46/bitspersec</f>
        <v>8.727272727272728E-06</v>
      </c>
      <c r="I46" s="21">
        <f t="shared" si="2"/>
        <v>0.003931454545454545</v>
      </c>
      <c r="J46" s="1"/>
      <c r="K46" s="4" t="s">
        <v>85</v>
      </c>
      <c r="L46" s="6">
        <f>Preamble+PLCP</f>
        <v>192</v>
      </c>
      <c r="M46" s="20">
        <f>L46/bitspersec</f>
        <v>8.727272727272728E-06</v>
      </c>
      <c r="N46" s="21">
        <f>N45+M46</f>
        <v>0.0007041818181818183</v>
      </c>
      <c r="O46" s="1"/>
      <c r="P46" s="1"/>
      <c r="Q46" s="1"/>
      <c r="R46" s="1"/>
      <c r="S46" s="1"/>
    </row>
    <row r="47" spans="1:19" ht="12.75">
      <c r="A47" s="4" t="s">
        <v>71</v>
      </c>
      <c r="B47" s="6">
        <f>8*34</f>
        <v>272</v>
      </c>
      <c r="C47" s="20">
        <f>B47/bitspersec</f>
        <v>1.2363636363636364E-05</v>
      </c>
      <c r="D47" s="21">
        <f>D46+C47+((Payload*8)/bitspersec)</f>
        <v>0.004304181818181817</v>
      </c>
      <c r="E47" s="1"/>
      <c r="F47" s="4" t="s">
        <v>87</v>
      </c>
      <c r="G47" s="6">
        <f>MacPayLdHdr</f>
        <v>272</v>
      </c>
      <c r="H47" s="20">
        <f>G47/bitspersec</f>
        <v>1.2363636363636364E-05</v>
      </c>
      <c r="I47" s="21">
        <f>I46+H47+((Payload*8)/bitspersec)</f>
        <v>0.004494363636363637</v>
      </c>
      <c r="J47" s="1"/>
      <c r="K47" s="4" t="s">
        <v>99</v>
      </c>
      <c r="L47" s="6">
        <f>MacPayLdHdr</f>
        <v>272</v>
      </c>
      <c r="M47" s="20">
        <f>L47/bitspersec</f>
        <v>1.2363636363636364E-05</v>
      </c>
      <c r="N47" s="21">
        <f>N46+M47+((Payload*8)/bitspersec)</f>
        <v>0.0012670909090909091</v>
      </c>
      <c r="O47" s="1"/>
      <c r="P47" s="1"/>
      <c r="Q47" s="1"/>
      <c r="R47" s="1"/>
      <c r="S47" s="1"/>
    </row>
    <row r="48" spans="1:19" ht="12.75">
      <c r="A48" s="4" t="s">
        <v>56</v>
      </c>
      <c r="B48" s="6"/>
      <c r="C48" s="20">
        <f>aSIFSTIME</f>
        <v>1E-05</v>
      </c>
      <c r="D48" s="21">
        <f t="shared" si="0"/>
        <v>0.004314181818181817</v>
      </c>
      <c r="E48" s="1"/>
      <c r="F48" s="4" t="s">
        <v>56</v>
      </c>
      <c r="G48" s="6"/>
      <c r="H48" s="20">
        <f>aSIFSTIME</f>
        <v>1E-05</v>
      </c>
      <c r="I48" s="21">
        <f t="shared" si="2"/>
        <v>0.004504363636363636</v>
      </c>
      <c r="J48" s="1"/>
      <c r="K48" s="4" t="s">
        <v>56</v>
      </c>
      <c r="L48" s="6"/>
      <c r="M48" s="20">
        <f>aSIFSTIME</f>
        <v>1E-05</v>
      </c>
      <c r="N48" s="21">
        <f>N47+M48</f>
        <v>0.0012770909090909091</v>
      </c>
      <c r="O48" s="1"/>
      <c r="P48" s="1"/>
      <c r="Q48" s="1"/>
      <c r="R48" s="1"/>
      <c r="S48" s="1"/>
    </row>
    <row r="49" spans="1:19" ht="12.75">
      <c r="A49" s="4" t="s">
        <v>85</v>
      </c>
      <c r="B49" s="6">
        <f>Preamble+PLCP</f>
        <v>192</v>
      </c>
      <c r="C49" s="20">
        <f>B49/bitspersec</f>
        <v>8.727272727272728E-06</v>
      </c>
      <c r="D49" s="21">
        <f t="shared" si="0"/>
        <v>0.00432290909090909</v>
      </c>
      <c r="E49" s="1"/>
      <c r="F49" s="4" t="s">
        <v>85</v>
      </c>
      <c r="G49" s="6">
        <f>Preamble+PLCP</f>
        <v>192</v>
      </c>
      <c r="H49" s="20">
        <f>G49/bitspersec</f>
        <v>8.727272727272728E-06</v>
      </c>
      <c r="I49" s="21">
        <f t="shared" si="2"/>
        <v>0.004513090909090909</v>
      </c>
      <c r="J49" s="1"/>
      <c r="K49" s="4" t="s">
        <v>85</v>
      </c>
      <c r="L49" s="6">
        <f>Preamble+PLCP</f>
        <v>192</v>
      </c>
      <c r="M49" s="20">
        <f>L49/bitspersec</f>
        <v>8.727272727272728E-06</v>
      </c>
      <c r="N49" s="21">
        <f>N48+M49</f>
        <v>0.0012858181818181818</v>
      </c>
      <c r="O49" s="1"/>
      <c r="P49" s="1"/>
      <c r="Q49" s="1"/>
      <c r="R49" s="1"/>
      <c r="S49" s="1"/>
    </row>
    <row r="50" spans="1:19" ht="12.75">
      <c r="A50" s="4" t="s">
        <v>72</v>
      </c>
      <c r="B50" s="6">
        <f>8*14</f>
        <v>112</v>
      </c>
      <c r="C50" s="20">
        <f>B50/bitspersec</f>
        <v>5.090909090909091E-06</v>
      </c>
      <c r="D50" s="21">
        <f t="shared" si="0"/>
        <v>0.004327999999999999</v>
      </c>
      <c r="E50" s="1"/>
      <c r="F50" s="4" t="s">
        <v>59</v>
      </c>
      <c r="G50" s="6">
        <f>AckOvrHd</f>
        <v>112</v>
      </c>
      <c r="H50" s="20">
        <f>G50/bitspersec</f>
        <v>5.090909090909091E-06</v>
      </c>
      <c r="I50" s="21">
        <f t="shared" si="2"/>
        <v>0.004518181818181819</v>
      </c>
      <c r="J50" s="1"/>
      <c r="K50" s="4" t="s">
        <v>101</v>
      </c>
      <c r="L50" s="6">
        <f>AckOvrHd</f>
        <v>112</v>
      </c>
      <c r="M50" s="20">
        <f>L50/bitspersec</f>
        <v>5.090909090909091E-06</v>
      </c>
      <c r="N50" s="21">
        <f>N49+M50</f>
        <v>0.0012909090909090908</v>
      </c>
      <c r="O50" s="1"/>
      <c r="P50" s="1"/>
      <c r="Q50" s="1"/>
      <c r="R50" s="1"/>
      <c r="S50" s="1"/>
    </row>
    <row r="51" spans="1:19" ht="12.75">
      <c r="A51" s="4" t="s">
        <v>56</v>
      </c>
      <c r="B51" s="6"/>
      <c r="C51" s="20">
        <f>aSIFSTIME</f>
        <v>1E-05</v>
      </c>
      <c r="D51" s="21">
        <f t="shared" si="0"/>
        <v>0.004337999999999999</v>
      </c>
      <c r="E51" s="1"/>
      <c r="F51" s="4" t="s">
        <v>64</v>
      </c>
      <c r="G51" s="6"/>
      <c r="H51" s="20">
        <f>aSIFSTIME+(2*aSlotTime)</f>
        <v>5E-05</v>
      </c>
      <c r="I51" s="21">
        <f t="shared" si="2"/>
        <v>0.0045681818181818185</v>
      </c>
      <c r="J51" s="1"/>
      <c r="K51" s="4" t="s">
        <v>64</v>
      </c>
      <c r="L51" s="7"/>
      <c r="M51" s="20">
        <f>aSIFSTIME+(2*aSlotTime)</f>
        <v>5E-05</v>
      </c>
      <c r="N51" s="21">
        <f>N50+M51</f>
        <v>0.0013409090909090907</v>
      </c>
      <c r="O51" s="1"/>
      <c r="P51" s="1"/>
      <c r="Q51" s="1"/>
      <c r="R51" s="1"/>
      <c r="S51" s="1"/>
    </row>
    <row r="52" spans="1:19" ht="12.75">
      <c r="A52" s="4" t="s">
        <v>85</v>
      </c>
      <c r="B52" s="6">
        <f>Preamble+PLCP</f>
        <v>192</v>
      </c>
      <c r="C52" s="20">
        <f>B52/bitspersec</f>
        <v>8.727272727272728E-06</v>
      </c>
      <c r="D52" s="21">
        <f t="shared" si="0"/>
        <v>0.004346727272727272</v>
      </c>
      <c r="E52" s="1"/>
      <c r="F52" s="4" t="s">
        <v>85</v>
      </c>
      <c r="G52" s="6">
        <f>Preamble+PLCP</f>
        <v>192</v>
      </c>
      <c r="H52" s="20">
        <f>G52/bitspersec</f>
        <v>8.727272727272728E-06</v>
      </c>
      <c r="I52" s="21">
        <f t="shared" si="2"/>
        <v>0.0045769090909090916</v>
      </c>
      <c r="J52" s="1"/>
      <c r="K52" s="4" t="s">
        <v>85</v>
      </c>
      <c r="L52" s="6">
        <f>Preamble+PLCP</f>
        <v>192</v>
      </c>
      <c r="M52" s="20">
        <f>L52/bitspersec</f>
        <v>8.727272727272728E-06</v>
      </c>
      <c r="N52" s="21">
        <f>N51+M52</f>
        <v>0.0013496363636363634</v>
      </c>
      <c r="O52" s="1"/>
      <c r="P52" s="1"/>
      <c r="Q52" s="1"/>
      <c r="R52" s="1"/>
      <c r="S52" s="1"/>
    </row>
    <row r="53" spans="1:19" ht="12.75">
      <c r="A53" s="4" t="s">
        <v>73</v>
      </c>
      <c r="B53" s="6">
        <f>8*34</f>
        <v>272</v>
      </c>
      <c r="C53" s="20">
        <f>B53/bitspersec</f>
        <v>1.2363636363636364E-05</v>
      </c>
      <c r="D53" s="21">
        <f>D52+C53+((Payload*8)/bitspersec)</f>
        <v>0.004909636363636363</v>
      </c>
      <c r="E53" s="1"/>
      <c r="F53" s="4" t="s">
        <v>88</v>
      </c>
      <c r="G53" s="6">
        <f>MacPayLdHdr</f>
        <v>272</v>
      </c>
      <c r="H53" s="20">
        <f>G53/bitspersec</f>
        <v>1.2363636363636364E-05</v>
      </c>
      <c r="I53" s="21">
        <f>I52+H53+((Payload*8)/bitspersec)</f>
        <v>0.005139818181818183</v>
      </c>
      <c r="J53" s="1"/>
      <c r="K53" s="4" t="s">
        <v>88</v>
      </c>
      <c r="L53" s="6">
        <f>MacPayLdHdr</f>
        <v>272</v>
      </c>
      <c r="M53" s="20">
        <f>L53/bitspersec</f>
        <v>1.2363636363636364E-05</v>
      </c>
      <c r="N53" s="21">
        <f>N52+M53+((Payload*8)/bitspersec)</f>
        <v>0.001912545454545454</v>
      </c>
      <c r="O53" s="1"/>
      <c r="P53" s="1"/>
      <c r="Q53" s="1"/>
      <c r="R53" s="1"/>
      <c r="S53" s="1"/>
    </row>
    <row r="54" spans="1:19" ht="12.75">
      <c r="A54" s="4" t="s">
        <v>56</v>
      </c>
      <c r="B54" s="6"/>
      <c r="C54" s="20">
        <f>aSIFSTIME</f>
        <v>1E-05</v>
      </c>
      <c r="D54" s="21">
        <f t="shared" si="0"/>
        <v>0.004919636363636363</v>
      </c>
      <c r="E54" s="1"/>
      <c r="F54" s="4" t="s">
        <v>56</v>
      </c>
      <c r="G54" s="6"/>
      <c r="H54" s="20">
        <f>aSIFSTIME</f>
        <v>1E-05</v>
      </c>
      <c r="I54" s="21">
        <f t="shared" si="2"/>
        <v>0.0051498181818181825</v>
      </c>
      <c r="J54" s="1"/>
      <c r="K54" s="4" t="s">
        <v>56</v>
      </c>
      <c r="L54" s="6"/>
      <c r="M54" s="20">
        <f>aSIFSTIME</f>
        <v>1E-05</v>
      </c>
      <c r="N54" s="21">
        <f>N53+M54</f>
        <v>0.0019225454545454541</v>
      </c>
      <c r="O54" s="1"/>
      <c r="P54" s="1"/>
      <c r="Q54" s="1"/>
      <c r="R54" s="1"/>
      <c r="S54" s="1"/>
    </row>
    <row r="55" spans="1:19" ht="12.75">
      <c r="A55" s="4" t="s">
        <v>85</v>
      </c>
      <c r="B55" s="6">
        <f>Preamble+PLCP</f>
        <v>192</v>
      </c>
      <c r="C55" s="20">
        <f>B55/bitspersec</f>
        <v>8.727272727272728E-06</v>
      </c>
      <c r="D55" s="21">
        <f t="shared" si="0"/>
        <v>0.004928363636363636</v>
      </c>
      <c r="E55" s="1"/>
      <c r="F55" s="4" t="s">
        <v>85</v>
      </c>
      <c r="G55" s="6">
        <f>Preamble+PLCP</f>
        <v>192</v>
      </c>
      <c r="H55" s="20">
        <f>G55/bitspersec</f>
        <v>8.727272727272728E-06</v>
      </c>
      <c r="I55" s="21">
        <f t="shared" si="2"/>
        <v>0.005158545454545456</v>
      </c>
      <c r="J55" s="1"/>
      <c r="K55" s="4" t="s">
        <v>85</v>
      </c>
      <c r="L55" s="6">
        <f>Preamble+PLCP</f>
        <v>192</v>
      </c>
      <c r="M55" s="20">
        <f>L55/bitspersec</f>
        <v>8.727272727272728E-06</v>
      </c>
      <c r="N55" s="21">
        <f>N54+M55</f>
        <v>0.0019312727272727268</v>
      </c>
      <c r="O55" s="1"/>
      <c r="P55" s="1"/>
      <c r="Q55" s="1"/>
      <c r="R55" s="1"/>
      <c r="S55" s="1"/>
    </row>
    <row r="56" spans="1:19" ht="12.75">
      <c r="A56" s="4" t="s">
        <v>74</v>
      </c>
      <c r="B56" s="6">
        <f>8*14</f>
        <v>112</v>
      </c>
      <c r="C56" s="20">
        <f>B56/bitspersec</f>
        <v>5.090909090909091E-06</v>
      </c>
      <c r="D56" s="21">
        <f t="shared" si="0"/>
        <v>0.0049334545454545456</v>
      </c>
      <c r="E56" s="1"/>
      <c r="F56" s="4" t="s">
        <v>61</v>
      </c>
      <c r="G56" s="6">
        <f>AckOvrHd</f>
        <v>112</v>
      </c>
      <c r="H56" s="20">
        <f>G56/bitspersec</f>
        <v>5.090909090909091E-06</v>
      </c>
      <c r="I56" s="21">
        <f t="shared" si="2"/>
        <v>0.005163636363636365</v>
      </c>
      <c r="J56" s="1"/>
      <c r="K56" s="4" t="s">
        <v>100</v>
      </c>
      <c r="L56" s="6">
        <f>AckOvrHd</f>
        <v>112</v>
      </c>
      <c r="M56" s="20">
        <f>L56/bitspersec</f>
        <v>5.090909090909091E-06</v>
      </c>
      <c r="N56" s="21">
        <f>N55+M56</f>
        <v>0.0019363636363636358</v>
      </c>
      <c r="O56" s="1"/>
      <c r="P56" s="1"/>
      <c r="Q56" s="1"/>
      <c r="R56" s="1"/>
      <c r="S56" s="1"/>
    </row>
    <row r="57" spans="1:19" ht="12.75">
      <c r="A57" s="4" t="s">
        <v>56</v>
      </c>
      <c r="B57" s="6"/>
      <c r="C57" s="20">
        <f>aSIFSTIME</f>
        <v>1E-05</v>
      </c>
      <c r="D57" s="21">
        <f t="shared" si="0"/>
        <v>0.004943454545454545</v>
      </c>
      <c r="E57" s="1"/>
      <c r="F57" s="4" t="s">
        <v>64</v>
      </c>
      <c r="G57" s="6"/>
      <c r="H57" s="20">
        <f>aSIFSTIME+(2*aSlotTime)</f>
        <v>5E-05</v>
      </c>
      <c r="I57" s="21">
        <f t="shared" si="2"/>
        <v>0.005213636363636365</v>
      </c>
      <c r="J57" s="1"/>
      <c r="K57" s="4" t="s">
        <v>64</v>
      </c>
      <c r="L57" s="7"/>
      <c r="M57" s="20">
        <f>aSIFSTIME+(2*aSlotTime)</f>
        <v>5E-05</v>
      </c>
      <c r="N57" s="21">
        <f>N56+M57</f>
        <v>0.001986363636363636</v>
      </c>
      <c r="O57" s="1"/>
      <c r="P57" s="1"/>
      <c r="Q57" s="1"/>
      <c r="R57" s="1"/>
      <c r="S57" s="1"/>
    </row>
    <row r="58" spans="1:19" ht="12.75">
      <c r="A58" s="4" t="s">
        <v>85</v>
      </c>
      <c r="B58" s="6">
        <f>Preamble+PLCP</f>
        <v>192</v>
      </c>
      <c r="C58" s="20">
        <f>B58/bitspersec</f>
        <v>8.727272727272728E-06</v>
      </c>
      <c r="D58" s="21">
        <f t="shared" si="0"/>
        <v>0.004952181818181818</v>
      </c>
      <c r="E58" s="1"/>
      <c r="F58" s="4" t="s">
        <v>85</v>
      </c>
      <c r="G58" s="6">
        <f>Preamble+PLCP</f>
        <v>192</v>
      </c>
      <c r="H58" s="20">
        <f>G58/bitspersec</f>
        <v>8.727272727272728E-06</v>
      </c>
      <c r="I58" s="21">
        <f t="shared" si="2"/>
        <v>0.005222363636363638</v>
      </c>
      <c r="J58" s="1"/>
      <c r="K58" s="4" t="s">
        <v>85</v>
      </c>
      <c r="L58" s="6">
        <f>Preamble+PLCP</f>
        <v>192</v>
      </c>
      <c r="M58" s="20">
        <f>L58/bitspersec</f>
        <v>8.727272727272728E-06</v>
      </c>
      <c r="N58" s="21">
        <f>N57+M58</f>
        <v>0.0019950909090909086</v>
      </c>
      <c r="O58" s="1"/>
      <c r="P58" s="1"/>
      <c r="Q58" s="1"/>
      <c r="R58" s="1"/>
      <c r="S58" s="1"/>
    </row>
    <row r="59" spans="1:19" ht="12.75">
      <c r="A59" s="4" t="s">
        <v>75</v>
      </c>
      <c r="B59" s="6">
        <f>8*34</f>
        <v>272</v>
      </c>
      <c r="C59" s="20">
        <f>B59/bitspersec</f>
        <v>1.2363636363636364E-05</v>
      </c>
      <c r="D59" s="21">
        <f>D58+C59+((Payload*8)/bitspersec)</f>
        <v>0.00551509090909091</v>
      </c>
      <c r="E59" s="1"/>
      <c r="F59" s="4" t="s">
        <v>99</v>
      </c>
      <c r="G59" s="6">
        <f>MacPayLdHdr</f>
        <v>272</v>
      </c>
      <c r="H59" s="20">
        <f>G59/bitspersec</f>
        <v>1.2363636363636364E-05</v>
      </c>
      <c r="I59" s="21">
        <f>I58+H59+((Payload*8)/bitspersec)</f>
        <v>0.005785272727272729</v>
      </c>
      <c r="J59" s="1"/>
      <c r="K59" s="4" t="s">
        <v>99</v>
      </c>
      <c r="L59" s="6">
        <f>MacPayLdHdr</f>
        <v>272</v>
      </c>
      <c r="M59" s="20">
        <f>L59/bitspersec</f>
        <v>1.2363636363636364E-05</v>
      </c>
      <c r="N59" s="21">
        <f>N58+M59+((Payload*8)/bitspersec)</f>
        <v>0.0025579999999999995</v>
      </c>
      <c r="O59" s="1"/>
      <c r="P59" s="1"/>
      <c r="Q59" s="1"/>
      <c r="R59" s="1"/>
      <c r="S59" s="1"/>
    </row>
    <row r="60" spans="1:19" ht="12.75">
      <c r="A60" s="4" t="s">
        <v>56</v>
      </c>
      <c r="B60" s="6"/>
      <c r="C60" s="20">
        <f>aSIFSTIME</f>
        <v>1E-05</v>
      </c>
      <c r="D60" s="21">
        <f t="shared" si="0"/>
        <v>0.005525090909090909</v>
      </c>
      <c r="E60" s="1"/>
      <c r="F60" s="4" t="s">
        <v>56</v>
      </c>
      <c r="G60" s="6"/>
      <c r="H60" s="20">
        <f>aSIFSTIME</f>
        <v>1E-05</v>
      </c>
      <c r="I60" s="21">
        <f t="shared" si="2"/>
        <v>0.005795272727272729</v>
      </c>
      <c r="J60" s="1"/>
      <c r="K60" s="4" t="s">
        <v>56</v>
      </c>
      <c r="L60" s="6"/>
      <c r="M60" s="20">
        <f>aSIFSTIME</f>
        <v>1E-05</v>
      </c>
      <c r="N60" s="21">
        <f>N59+M60</f>
        <v>0.0025679999999999995</v>
      </c>
      <c r="O60" s="1"/>
      <c r="P60" s="1"/>
      <c r="Q60" s="1"/>
      <c r="R60" s="1"/>
      <c r="S60" s="1"/>
    </row>
    <row r="61" spans="1:19" ht="12.75">
      <c r="A61" s="4" t="s">
        <v>85</v>
      </c>
      <c r="B61" s="6">
        <f>Preamble+PLCP</f>
        <v>192</v>
      </c>
      <c r="C61" s="20">
        <f>B61/bitspersec</f>
        <v>8.727272727272728E-06</v>
      </c>
      <c r="D61" s="21">
        <f t="shared" si="0"/>
        <v>0.005533818181818182</v>
      </c>
      <c r="E61" s="1"/>
      <c r="F61" s="4" t="s">
        <v>85</v>
      </c>
      <c r="G61" s="6">
        <f>Preamble+PLCP</f>
        <v>192</v>
      </c>
      <c r="H61" s="20">
        <f>G61/bitspersec</f>
        <v>8.727272727272728E-06</v>
      </c>
      <c r="I61" s="21">
        <f t="shared" si="2"/>
        <v>0.005804000000000002</v>
      </c>
      <c r="J61" s="1"/>
      <c r="K61" s="4" t="s">
        <v>85</v>
      </c>
      <c r="L61" s="6">
        <f>Preamble+PLCP</f>
        <v>192</v>
      </c>
      <c r="M61" s="20">
        <f>L61/bitspersec</f>
        <v>8.727272727272728E-06</v>
      </c>
      <c r="N61" s="21">
        <f>N60+M61</f>
        <v>0.002576727272727272</v>
      </c>
      <c r="O61" s="1"/>
      <c r="P61" s="1"/>
      <c r="Q61" s="1"/>
      <c r="R61" s="1"/>
      <c r="S61" s="1"/>
    </row>
    <row r="62" spans="1:14" ht="12.75">
      <c r="A62" s="4" t="s">
        <v>76</v>
      </c>
      <c r="B62" s="6">
        <f>8*14</f>
        <v>112</v>
      </c>
      <c r="C62" s="20">
        <f>B62/bitspersec</f>
        <v>5.090909090909091E-06</v>
      </c>
      <c r="D62" s="21">
        <f>D61+C62+((Payload*8)/bitspersec)</f>
        <v>0.006089454545454546</v>
      </c>
      <c r="F62" s="4" t="s">
        <v>101</v>
      </c>
      <c r="G62" s="6">
        <f>AckOvrHd</f>
        <v>112</v>
      </c>
      <c r="H62" s="20">
        <f>G62/bitspersec</f>
        <v>5.090909090909091E-06</v>
      </c>
      <c r="I62" s="21">
        <f t="shared" si="2"/>
        <v>0.005809090909090911</v>
      </c>
      <c r="K62" s="4" t="s">
        <v>63</v>
      </c>
      <c r="L62" s="6">
        <f>AckOvrHd</f>
        <v>112</v>
      </c>
      <c r="M62" s="20">
        <f>L62/bitspersec</f>
        <v>5.090909090909091E-06</v>
      </c>
      <c r="N62" s="21">
        <f>N61+M62</f>
        <v>0.0025818181818181812</v>
      </c>
    </row>
    <row r="63" spans="1:14" ht="12.75">
      <c r="A63" s="4" t="s">
        <v>56</v>
      </c>
      <c r="B63" s="7"/>
      <c r="C63" s="20">
        <f>aSIFSTIME</f>
        <v>1E-05</v>
      </c>
      <c r="D63" s="21">
        <f t="shared" si="0"/>
        <v>0.006099454545454546</v>
      </c>
      <c r="F63" s="4" t="s">
        <v>64</v>
      </c>
      <c r="G63" s="7"/>
      <c r="H63" s="20">
        <f>aSIFSTIME+(2*aSlotTime)</f>
        <v>5E-05</v>
      </c>
      <c r="I63" s="21">
        <f t="shared" si="2"/>
        <v>0.005859090909090911</v>
      </c>
      <c r="K63" s="4" t="s">
        <v>64</v>
      </c>
      <c r="L63" s="7"/>
      <c r="M63" s="20">
        <f>aSIFSTIME+(2*aSlotTime)</f>
        <v>5E-05</v>
      </c>
      <c r="N63" s="21">
        <f>N62+M63</f>
        <v>0.0026318181818181813</v>
      </c>
    </row>
    <row r="64" spans="1:14" ht="12.75">
      <c r="A64" s="4" t="s">
        <v>85</v>
      </c>
      <c r="B64" s="6">
        <f>Preamble+PLCP</f>
        <v>192</v>
      </c>
      <c r="C64" s="20">
        <f>B64/bitspersec</f>
        <v>8.727272727272728E-06</v>
      </c>
      <c r="D64" s="21">
        <f t="shared" si="0"/>
        <v>0.006108181818181819</v>
      </c>
      <c r="F64" s="4" t="s">
        <v>85</v>
      </c>
      <c r="G64" s="6">
        <f>Preamble+PLCP</f>
        <v>192</v>
      </c>
      <c r="H64" s="20">
        <f>G64/bitspersec</f>
        <v>8.727272727272728E-06</v>
      </c>
      <c r="I64" s="21">
        <f t="shared" si="2"/>
        <v>0.005867818181818184</v>
      </c>
      <c r="K64" s="4" t="s">
        <v>85</v>
      </c>
      <c r="L64" s="6">
        <f>Preamble+PLCP</f>
        <v>192</v>
      </c>
      <c r="M64" s="20">
        <f>L64/bitspersec</f>
        <v>8.727272727272728E-06</v>
      </c>
      <c r="N64" s="21">
        <f>N63+M64</f>
        <v>0.002640545454545454</v>
      </c>
    </row>
    <row r="65" spans="1:14" ht="12.75">
      <c r="A65" s="4" t="s">
        <v>77</v>
      </c>
      <c r="B65" s="6">
        <f>8*34</f>
        <v>272</v>
      </c>
      <c r="C65" s="20">
        <f>B65/bitspersec</f>
        <v>1.2363636363636364E-05</v>
      </c>
      <c r="D65" s="21">
        <f>D64+C65+((Payload*8)/bitspersec)</f>
        <v>0.00667109090909091</v>
      </c>
      <c r="F65" s="4" t="s">
        <v>87</v>
      </c>
      <c r="G65" s="6">
        <f>MacPayLdHdr</f>
        <v>272</v>
      </c>
      <c r="H65" s="20">
        <f>G65/bitspersec</f>
        <v>1.2363636363636364E-05</v>
      </c>
      <c r="I65" s="21">
        <f>I64+H65+((Payload*8)/bitspersec)</f>
        <v>0.0064307272727272755</v>
      </c>
      <c r="K65" s="4" t="s">
        <v>88</v>
      </c>
      <c r="L65" s="6">
        <f>MacPayLdHdr</f>
        <v>272</v>
      </c>
      <c r="M65" s="20">
        <f>L65/bitspersec</f>
        <v>1.2363636363636364E-05</v>
      </c>
      <c r="N65" s="21">
        <f>N64+M65+((Payload*8)/bitspersec)</f>
        <v>0.003203454545454545</v>
      </c>
    </row>
    <row r="66" spans="1:14" ht="12.75">
      <c r="A66" s="4" t="s">
        <v>56</v>
      </c>
      <c r="B66" s="7"/>
      <c r="C66" s="20">
        <f>aSIFSTIME</f>
        <v>1E-05</v>
      </c>
      <c r="D66" s="21">
        <f t="shared" si="0"/>
        <v>0.00668109090909091</v>
      </c>
      <c r="F66" s="4" t="s">
        <v>56</v>
      </c>
      <c r="G66" s="6"/>
      <c r="H66" s="20">
        <f>aSIFSTIME</f>
        <v>1E-05</v>
      </c>
      <c r="I66" s="21">
        <f t="shared" si="2"/>
        <v>0.006440727272727275</v>
      </c>
      <c r="K66" s="4" t="s">
        <v>56</v>
      </c>
      <c r="L66" s="6"/>
      <c r="M66" s="20">
        <f>aSIFSTIME</f>
        <v>1E-05</v>
      </c>
      <c r="N66" s="21">
        <f>N65+M66</f>
        <v>0.003213454545454545</v>
      </c>
    </row>
    <row r="67" spans="1:14" ht="12.75">
      <c r="A67" s="4" t="s">
        <v>85</v>
      </c>
      <c r="B67" s="6">
        <f>Preamble+PLCP</f>
        <v>192</v>
      </c>
      <c r="C67" s="20">
        <f>B67/bitspersec</f>
        <v>8.727272727272728E-06</v>
      </c>
      <c r="D67" s="21">
        <f t="shared" si="0"/>
        <v>0.006689818181818183</v>
      </c>
      <c r="F67" s="4" t="s">
        <v>85</v>
      </c>
      <c r="G67" s="6">
        <f>Preamble+PLCP</f>
        <v>192</v>
      </c>
      <c r="H67" s="20">
        <f>G67/bitspersec</f>
        <v>8.727272727272728E-06</v>
      </c>
      <c r="I67" s="21">
        <f t="shared" si="2"/>
        <v>0.006449454545454548</v>
      </c>
      <c r="K67" s="4" t="s">
        <v>85</v>
      </c>
      <c r="L67" s="6">
        <f>Preamble+PLCP</f>
        <v>192</v>
      </c>
      <c r="M67" s="20">
        <f>L67/bitspersec</f>
        <v>8.727272727272728E-06</v>
      </c>
      <c r="N67" s="21">
        <f>N66+M67</f>
        <v>0.0032221818181818176</v>
      </c>
    </row>
    <row r="68" spans="1:14" ht="12.75">
      <c r="A68" s="4" t="s">
        <v>78</v>
      </c>
      <c r="B68" s="6">
        <f>8*14</f>
        <v>112</v>
      </c>
      <c r="C68" s="20">
        <f>B68/bitspersec</f>
        <v>5.090909090909091E-06</v>
      </c>
      <c r="D68" s="21">
        <f>D67+C68</f>
        <v>0.0066949090909090925</v>
      </c>
      <c r="E68" s="17"/>
      <c r="F68" s="4" t="s">
        <v>102</v>
      </c>
      <c r="G68" s="6">
        <f>AckOvrHd</f>
        <v>112</v>
      </c>
      <c r="H68" s="20">
        <f>G68/bitspersec</f>
        <v>5.090909090909091E-06</v>
      </c>
      <c r="I68" s="21">
        <f t="shared" si="2"/>
        <v>0.006454545454545458</v>
      </c>
      <c r="K68" s="4" t="s">
        <v>61</v>
      </c>
      <c r="L68" s="6">
        <f>AckOvrHd</f>
        <v>112</v>
      </c>
      <c r="M68" s="20">
        <f>L68/bitspersec</f>
        <v>5.090909090909091E-06</v>
      </c>
      <c r="N68" s="21">
        <f>N67+M68</f>
        <v>0.0032272727272727266</v>
      </c>
    </row>
    <row r="69" spans="1:14" ht="12.75">
      <c r="A69" s="4"/>
      <c r="B69" s="6"/>
      <c r="C69" s="20"/>
      <c r="D69" s="21"/>
      <c r="F69" s="4" t="s">
        <v>64</v>
      </c>
      <c r="G69" s="7"/>
      <c r="H69" s="20">
        <f>aSIFSTIME+(2*aSlotTime)</f>
        <v>5E-05</v>
      </c>
      <c r="I69" s="21">
        <f t="shared" si="2"/>
        <v>0.006504545454545457</v>
      </c>
      <c r="K69" s="4" t="s">
        <v>64</v>
      </c>
      <c r="L69" s="6"/>
      <c r="M69" s="20">
        <f>aSIFSTIME+(2*aSlotTime)</f>
        <v>5E-05</v>
      </c>
      <c r="N69" s="21">
        <f>N68+M69</f>
        <v>0.0032772727272727268</v>
      </c>
    </row>
    <row r="70" spans="1:14" ht="12.75">
      <c r="A70" s="10"/>
      <c r="B70" s="1"/>
      <c r="C70" s="17"/>
      <c r="D70" s="19"/>
      <c r="F70" s="4" t="s">
        <v>85</v>
      </c>
      <c r="G70" s="6">
        <f>Preamble+PLCP</f>
        <v>192</v>
      </c>
      <c r="H70" s="20">
        <f>G70/bitspersec</f>
        <v>8.727272727272728E-06</v>
      </c>
      <c r="I70" s="21">
        <f aca="true" t="shared" si="3" ref="I70:I87">I69+H70</f>
        <v>0.00651327272727273</v>
      </c>
      <c r="K70" s="4" t="s">
        <v>85</v>
      </c>
      <c r="L70" s="6">
        <f>Preamble+PLCP</f>
        <v>192</v>
      </c>
      <c r="M70" s="20">
        <f>L70/bitspersec</f>
        <v>8.727272727272728E-06</v>
      </c>
      <c r="N70" s="21">
        <f>N69+M70</f>
        <v>0.0032859999999999994</v>
      </c>
    </row>
    <row r="71" spans="1:14" ht="12.75">
      <c r="A71" s="6" t="s">
        <v>97</v>
      </c>
      <c r="B71" s="6"/>
      <c r="C71" s="20">
        <f>SUM(C3:C68)</f>
        <v>0.0006389090909090915</v>
      </c>
      <c r="D71" s="20" t="s">
        <v>104</v>
      </c>
      <c r="F71" s="4" t="s">
        <v>88</v>
      </c>
      <c r="G71" s="6">
        <f>MacPayLdHdr</f>
        <v>272</v>
      </c>
      <c r="H71" s="20">
        <f>G71/bitspersec</f>
        <v>1.2363636363636364E-05</v>
      </c>
      <c r="I71" s="21">
        <f>I70+H71+((Payload*8)/bitspersec)</f>
        <v>0.007076181818181822</v>
      </c>
      <c r="K71" s="4" t="s">
        <v>99</v>
      </c>
      <c r="L71" s="6">
        <f>MacPayLdHdr</f>
        <v>272</v>
      </c>
      <c r="M71" s="20">
        <f>L71/bitspersec</f>
        <v>1.2363636363636364E-05</v>
      </c>
      <c r="N71" s="21">
        <f>N70+M71+((Payload*8)/bitspersec)</f>
        <v>0.0038489090909090903</v>
      </c>
    </row>
    <row r="72" spans="1:14" ht="12.75">
      <c r="A72" s="6" t="s">
        <v>80</v>
      </c>
      <c r="B72" s="6">
        <f>SUM(B3:B68)</f>
        <v>8336</v>
      </c>
      <c r="C72" s="20"/>
      <c r="D72" s="20"/>
      <c r="F72" s="4" t="s">
        <v>56</v>
      </c>
      <c r="G72" s="6"/>
      <c r="H72" s="20">
        <f>aSIFSTIME</f>
        <v>1E-05</v>
      </c>
      <c r="I72" s="21">
        <f t="shared" si="3"/>
        <v>0.007086181818181821</v>
      </c>
      <c r="K72" s="4" t="s">
        <v>56</v>
      </c>
      <c r="L72" s="6"/>
      <c r="M72" s="20">
        <f>aSIFSTIME</f>
        <v>1E-05</v>
      </c>
      <c r="N72" s="21">
        <f>N71+M72</f>
        <v>0.0038589090909090904</v>
      </c>
    </row>
    <row r="73" spans="1:14" ht="12.75">
      <c r="A73" s="6" t="s">
        <v>81</v>
      </c>
      <c r="B73" s="6">
        <f>(COUNTIF(A3:A68,"Data_*")*(Payload*8))</f>
        <v>121120</v>
      </c>
      <c r="C73" s="20">
        <f>B73/bitspersec</f>
        <v>0.005505454545454545</v>
      </c>
      <c r="D73" s="20" t="s">
        <v>104</v>
      </c>
      <c r="F73" s="4" t="s">
        <v>85</v>
      </c>
      <c r="G73" s="6">
        <f>Preamble+PLCP</f>
        <v>192</v>
      </c>
      <c r="H73" s="20">
        <f>G73/bitspersec</f>
        <v>8.727272727272728E-06</v>
      </c>
      <c r="I73" s="21">
        <f t="shared" si="3"/>
        <v>0.007094909090909094</v>
      </c>
      <c r="K73" s="4" t="s">
        <v>85</v>
      </c>
      <c r="L73" s="6">
        <f>Preamble+PLCP</f>
        <v>192</v>
      </c>
      <c r="M73" s="20">
        <f>L73/bitspersec</f>
        <v>8.727272727272728E-06</v>
      </c>
      <c r="N73" s="21">
        <f>N72+M73</f>
        <v>0.003867636363636363</v>
      </c>
    </row>
    <row r="74" spans="1:14" ht="12.75">
      <c r="A74" s="5" t="s">
        <v>103</v>
      </c>
      <c r="B74" s="22"/>
      <c r="C74" s="22">
        <f>C73/(C73+C71)</f>
        <v>0.8960170444457595</v>
      </c>
      <c r="D74" s="22"/>
      <c r="F74" s="4" t="s">
        <v>61</v>
      </c>
      <c r="G74" s="6">
        <f>AckOvrHd</f>
        <v>112</v>
      </c>
      <c r="H74" s="20">
        <f>G74/bitspersec</f>
        <v>5.090909090909091E-06</v>
      </c>
      <c r="I74" s="21">
        <f t="shared" si="3"/>
        <v>0.007100000000000004</v>
      </c>
      <c r="K74" s="4" t="s">
        <v>101</v>
      </c>
      <c r="L74" s="6">
        <f>AckOvrHd</f>
        <v>112</v>
      </c>
      <c r="M74" s="20">
        <f>L74/bitspersec</f>
        <v>5.090909090909091E-06</v>
      </c>
      <c r="N74" s="21">
        <f>N73+M74</f>
        <v>0.003872727272727272</v>
      </c>
    </row>
    <row r="75" spans="1:14" ht="12.75">
      <c r="A75" s="5"/>
      <c r="B75" s="22"/>
      <c r="C75" s="22"/>
      <c r="D75" s="22"/>
      <c r="F75" s="4" t="s">
        <v>64</v>
      </c>
      <c r="G75" s="6"/>
      <c r="H75" s="20">
        <f>aSIFSTIME+(2*aSlotTime)</f>
        <v>5E-05</v>
      </c>
      <c r="I75" s="21">
        <f t="shared" si="3"/>
        <v>0.007150000000000004</v>
      </c>
      <c r="K75" s="4" t="s">
        <v>64</v>
      </c>
      <c r="L75" s="7"/>
      <c r="M75" s="20">
        <f>aSIFSTIME+(2*aSlotTime)</f>
        <v>5E-05</v>
      </c>
      <c r="N75" s="21">
        <f>N74+M75</f>
        <v>0.003922727272727272</v>
      </c>
    </row>
    <row r="76" spans="1:14" ht="12.75">
      <c r="A76" s="6" t="s">
        <v>86</v>
      </c>
      <c r="B76" s="6"/>
      <c r="C76" s="21">
        <f>bitspersec*C74</f>
        <v>19712374.97780671</v>
      </c>
      <c r="D76" s="21" t="s">
        <v>105</v>
      </c>
      <c r="F76" s="4" t="s">
        <v>85</v>
      </c>
      <c r="G76" s="6">
        <f>Preamble+PLCP</f>
        <v>192</v>
      </c>
      <c r="H76" s="20">
        <f>G76/bitspersec</f>
        <v>8.727272727272728E-06</v>
      </c>
      <c r="I76" s="21">
        <f t="shared" si="3"/>
        <v>0.007158727272727277</v>
      </c>
      <c r="K76" s="4" t="s">
        <v>85</v>
      </c>
      <c r="L76" s="6">
        <f>Preamble+PLCP</f>
        <v>192</v>
      </c>
      <c r="M76" s="20">
        <f>L76/bitspersec</f>
        <v>8.727272727272728E-06</v>
      </c>
      <c r="N76" s="21">
        <f>N75+M76</f>
        <v>0.003931454545454545</v>
      </c>
    </row>
    <row r="77" spans="1:14" ht="12.75">
      <c r="A77" s="10"/>
      <c r="B77" s="1"/>
      <c r="C77" s="17"/>
      <c r="D77" s="19"/>
      <c r="F77" s="4" t="s">
        <v>99</v>
      </c>
      <c r="G77" s="6">
        <f>MacPayLdHdr</f>
        <v>272</v>
      </c>
      <c r="H77" s="20">
        <f>G77/bitspersec</f>
        <v>1.2363636363636364E-05</v>
      </c>
      <c r="I77" s="21">
        <f>I76+H77+((Payload*8)/bitspersec)</f>
        <v>0.007721636363636368</v>
      </c>
      <c r="K77" s="4" t="s">
        <v>88</v>
      </c>
      <c r="L77" s="6">
        <f>MacPayLdHdr</f>
        <v>272</v>
      </c>
      <c r="M77" s="20">
        <f>L77/bitspersec</f>
        <v>1.2363636363636364E-05</v>
      </c>
      <c r="N77" s="21">
        <f>N76+M77+((Payload*8)/bitspersec)</f>
        <v>0.004494363636363637</v>
      </c>
    </row>
    <row r="78" spans="2:14" ht="12.75">
      <c r="B78" s="1"/>
      <c r="C78" s="17"/>
      <c r="D78" s="19"/>
      <c r="F78" s="4" t="s">
        <v>56</v>
      </c>
      <c r="G78" s="6"/>
      <c r="H78" s="20">
        <f>aSIFSTIME</f>
        <v>1E-05</v>
      </c>
      <c r="I78" s="21">
        <f t="shared" si="3"/>
        <v>0.007731636363636368</v>
      </c>
      <c r="K78" s="4" t="s">
        <v>56</v>
      </c>
      <c r="L78" s="6"/>
      <c r="M78" s="20">
        <f>aSIFSTIME</f>
        <v>1E-05</v>
      </c>
      <c r="N78" s="21">
        <f>N77+M78</f>
        <v>0.004504363636363636</v>
      </c>
    </row>
    <row r="79" spans="2:14" ht="12.75">
      <c r="B79" s="1"/>
      <c r="C79" s="17"/>
      <c r="D79" s="19"/>
      <c r="F79" s="4" t="s">
        <v>85</v>
      </c>
      <c r="G79" s="6">
        <f>Preamble+PLCP</f>
        <v>192</v>
      </c>
      <c r="H79" s="20">
        <f>G79/bitspersec</f>
        <v>8.727272727272728E-06</v>
      </c>
      <c r="I79" s="21">
        <f t="shared" si="3"/>
        <v>0.007740363636363641</v>
      </c>
      <c r="K79" s="4" t="s">
        <v>85</v>
      </c>
      <c r="L79" s="6">
        <f>Preamble+PLCP</f>
        <v>192</v>
      </c>
      <c r="M79" s="20">
        <f>L79/bitspersec</f>
        <v>8.727272727272728E-06</v>
      </c>
      <c r="N79" s="21">
        <f>N78+M79</f>
        <v>0.004513090909090909</v>
      </c>
    </row>
    <row r="80" spans="1:14" ht="12.75">
      <c r="A80" s="50" t="s">
        <v>356</v>
      </c>
      <c r="B80" s="51"/>
      <c r="C80" s="52"/>
      <c r="D80" s="53"/>
      <c r="F80" s="4" t="s">
        <v>101</v>
      </c>
      <c r="G80" s="6">
        <f>AckOvrHd</f>
        <v>112</v>
      </c>
      <c r="H80" s="20">
        <f>G80/bitspersec</f>
        <v>5.090909090909091E-06</v>
      </c>
      <c r="I80" s="21">
        <f t="shared" si="3"/>
        <v>0.00774545454545455</v>
      </c>
      <c r="K80" s="4" t="s">
        <v>100</v>
      </c>
      <c r="L80" s="6">
        <f>AckOvrHd</f>
        <v>112</v>
      </c>
      <c r="M80" s="20">
        <f>L80/bitspersec</f>
        <v>5.090909090909091E-06</v>
      </c>
      <c r="N80" s="21">
        <f>N79+M80</f>
        <v>0.004518181818181819</v>
      </c>
    </row>
    <row r="81" spans="1:14" ht="12.75">
      <c r="A81" s="62" t="s">
        <v>134</v>
      </c>
      <c r="B81" s="44"/>
      <c r="C81" s="63"/>
      <c r="D81" s="64"/>
      <c r="F81" s="4" t="s">
        <v>64</v>
      </c>
      <c r="G81" s="7"/>
      <c r="H81" s="20">
        <f>aSIFSTIME+(2*aSlotTime)</f>
        <v>5E-05</v>
      </c>
      <c r="I81" s="21">
        <f t="shared" si="3"/>
        <v>0.00779545454545455</v>
      </c>
      <c r="K81" s="4" t="s">
        <v>64</v>
      </c>
      <c r="L81" s="7"/>
      <c r="M81" s="20">
        <f>aSIFSTIME+(2*aSlotTime)</f>
        <v>5E-05</v>
      </c>
      <c r="N81" s="21">
        <f>N80+M81</f>
        <v>0.0045681818181818185</v>
      </c>
    </row>
    <row r="82" spans="1:14" ht="12.75">
      <c r="A82" s="65" t="s">
        <v>133</v>
      </c>
      <c r="B82" s="47"/>
      <c r="C82" s="66"/>
      <c r="D82" s="67"/>
      <c r="F82" s="4" t="s">
        <v>85</v>
      </c>
      <c r="G82" s="6">
        <f>Preamble+PLCP</f>
        <v>192</v>
      </c>
      <c r="H82" s="20">
        <f>G82/bitspersec</f>
        <v>8.727272727272728E-06</v>
      </c>
      <c r="I82" s="21">
        <f t="shared" si="3"/>
        <v>0.007804181818181823</v>
      </c>
      <c r="K82" s="4" t="s">
        <v>85</v>
      </c>
      <c r="L82" s="6">
        <f>Preamble+PLCP</f>
        <v>192</v>
      </c>
      <c r="M82" s="20">
        <f>L82/bitspersec</f>
        <v>8.727272727272728E-06</v>
      </c>
      <c r="N82" s="21">
        <f>N81+M82</f>
        <v>0.0045769090909090916</v>
      </c>
    </row>
    <row r="83" spans="1:14" ht="12.75">
      <c r="A83" s="10"/>
      <c r="B83" s="1"/>
      <c r="C83" s="17"/>
      <c r="D83" s="19"/>
      <c r="F83" s="4" t="s">
        <v>87</v>
      </c>
      <c r="G83" s="6">
        <f>MacPayLdHdr</f>
        <v>272</v>
      </c>
      <c r="H83" s="20">
        <f>G83/bitspersec</f>
        <v>1.2363636363636364E-05</v>
      </c>
      <c r="I83" s="21">
        <f>I82+H83+((Payload*8)/bitspersec)</f>
        <v>0.008367090909090914</v>
      </c>
      <c r="K83" s="4" t="s">
        <v>99</v>
      </c>
      <c r="L83" s="6">
        <f>MacPayLdHdr</f>
        <v>272</v>
      </c>
      <c r="M83" s="20">
        <f>L83/bitspersec</f>
        <v>1.2363636363636364E-05</v>
      </c>
      <c r="N83" s="21">
        <f>N82+M83+((Payload*8)/bitspersec)</f>
        <v>0.005139818181818183</v>
      </c>
    </row>
    <row r="84" spans="1:14" ht="12.75">
      <c r="A84" s="10"/>
      <c r="B84" s="1"/>
      <c r="C84" s="17"/>
      <c r="D84" s="19"/>
      <c r="F84" s="4" t="s">
        <v>56</v>
      </c>
      <c r="G84" s="6"/>
      <c r="H84" s="20">
        <f>aSIFSTIME</f>
        <v>1E-05</v>
      </c>
      <c r="I84" s="21">
        <f t="shared" si="3"/>
        <v>0.008377090909090914</v>
      </c>
      <c r="K84" s="4" t="s">
        <v>56</v>
      </c>
      <c r="L84" s="6"/>
      <c r="M84" s="20">
        <f>aSIFSTIME</f>
        <v>1E-05</v>
      </c>
      <c r="N84" s="21">
        <f>N83+M84</f>
        <v>0.0051498181818181825</v>
      </c>
    </row>
    <row r="85" spans="1:14" ht="12.75">
      <c r="A85" s="10"/>
      <c r="B85" s="1"/>
      <c r="C85" s="17"/>
      <c r="D85" s="19"/>
      <c r="F85" s="4" t="s">
        <v>85</v>
      </c>
      <c r="G85" s="6">
        <f>Preamble+PLCP</f>
        <v>192</v>
      </c>
      <c r="H85" s="20">
        <f>G85/bitspersec</f>
        <v>8.727272727272728E-06</v>
      </c>
      <c r="I85" s="21">
        <f t="shared" si="3"/>
        <v>0.008385818181818187</v>
      </c>
      <c r="K85" s="4" t="s">
        <v>85</v>
      </c>
      <c r="L85" s="6">
        <f>Preamble+PLCP</f>
        <v>192</v>
      </c>
      <c r="M85" s="20">
        <f>L85/bitspersec</f>
        <v>8.727272727272728E-06</v>
      </c>
      <c r="N85" s="21">
        <f>N84+M85</f>
        <v>0.005158545454545456</v>
      </c>
    </row>
    <row r="86" spans="1:14" ht="12.75">
      <c r="A86" s="10"/>
      <c r="B86" s="1"/>
      <c r="C86" s="17"/>
      <c r="D86" s="19"/>
      <c r="F86" s="4" t="s">
        <v>102</v>
      </c>
      <c r="G86" s="6">
        <f>AckOvrHd</f>
        <v>112</v>
      </c>
      <c r="H86" s="20">
        <f>G86/bitspersec</f>
        <v>5.090909090909091E-06</v>
      </c>
      <c r="I86" s="21">
        <f t="shared" si="3"/>
        <v>0.008390909090909096</v>
      </c>
      <c r="K86" s="4" t="s">
        <v>63</v>
      </c>
      <c r="L86" s="6">
        <f>AckOvrHd</f>
        <v>112</v>
      </c>
      <c r="M86" s="20">
        <f>L86/bitspersec</f>
        <v>5.090909090909091E-06</v>
      </c>
      <c r="N86" s="21">
        <f>N85+M86</f>
        <v>0.005163636363636365</v>
      </c>
    </row>
    <row r="87" spans="1:14" ht="12.75">
      <c r="A87" s="10"/>
      <c r="B87" s="1"/>
      <c r="C87" s="17"/>
      <c r="D87" s="19"/>
      <c r="F87" s="4" t="s">
        <v>64</v>
      </c>
      <c r="G87" s="7"/>
      <c r="H87" s="20">
        <f>aSIFSTIME+(2*aSlotTime)</f>
        <v>5E-05</v>
      </c>
      <c r="I87" s="21">
        <f t="shared" si="3"/>
        <v>0.008440909090909096</v>
      </c>
      <c r="K87" s="4" t="s">
        <v>64</v>
      </c>
      <c r="L87" s="6"/>
      <c r="M87" s="20">
        <f>aSIFSTIME+(2*aSlotTime)</f>
        <v>5E-05</v>
      </c>
      <c r="N87" s="21">
        <f>N86+M87</f>
        <v>0.005213636363636365</v>
      </c>
    </row>
    <row r="88" spans="1:14" ht="12.75">
      <c r="A88" s="37" t="s">
        <v>112</v>
      </c>
      <c r="B88" s="38"/>
      <c r="C88" s="39"/>
      <c r="D88" s="19"/>
      <c r="F88" s="4" t="s">
        <v>85</v>
      </c>
      <c r="G88" s="6">
        <f>Preamble+PLCP</f>
        <v>192</v>
      </c>
      <c r="H88" s="20">
        <f>G88/bitspersec</f>
        <v>8.727272727272728E-06</v>
      </c>
      <c r="I88" s="21">
        <f aca="true" t="shared" si="4" ref="I88:I98">I87+H88</f>
        <v>0.00844963636363637</v>
      </c>
      <c r="K88" s="4" t="s">
        <v>85</v>
      </c>
      <c r="L88" s="6">
        <f>Preamble+PLCP</f>
        <v>192</v>
      </c>
      <c r="M88" s="20">
        <f>L88/bitspersec</f>
        <v>8.727272727272728E-06</v>
      </c>
      <c r="N88" s="21">
        <f>N87+M88</f>
        <v>0.005222363636363638</v>
      </c>
    </row>
    <row r="89" spans="1:14" ht="12.75">
      <c r="A89" s="23" t="s">
        <v>106</v>
      </c>
      <c r="B89" s="30">
        <v>22000000</v>
      </c>
      <c r="C89" s="6" t="s">
        <v>105</v>
      </c>
      <c r="D89" s="19"/>
      <c r="F89" s="4" t="s">
        <v>88</v>
      </c>
      <c r="G89" s="6">
        <f>MacPayLdHdr</f>
        <v>272</v>
      </c>
      <c r="H89" s="20">
        <f>G89/bitspersec</f>
        <v>1.2363636363636364E-05</v>
      </c>
      <c r="I89" s="21">
        <f>I88+H89+((Payload*8)/bitspersec)</f>
        <v>0.00901254545454546</v>
      </c>
      <c r="K89" s="4" t="s">
        <v>88</v>
      </c>
      <c r="L89" s="6">
        <f>MacPayLdHdr</f>
        <v>272</v>
      </c>
      <c r="M89" s="20">
        <f>L89/bitspersec</f>
        <v>1.2363636363636364E-05</v>
      </c>
      <c r="N89" s="21">
        <f>N88+M89+((Payload*8)/bitspersec)</f>
        <v>0.005785272727272729</v>
      </c>
    </row>
    <row r="90" spans="1:14" ht="12.75">
      <c r="A90" s="29"/>
      <c r="B90" s="32"/>
      <c r="C90" s="12"/>
      <c r="D90" s="19"/>
      <c r="F90" s="4" t="s">
        <v>56</v>
      </c>
      <c r="G90" s="6"/>
      <c r="H90" s="20">
        <f>aSIFSTIME</f>
        <v>1E-05</v>
      </c>
      <c r="I90" s="21">
        <f t="shared" si="4"/>
        <v>0.00902254545454546</v>
      </c>
      <c r="K90" s="4" t="s">
        <v>56</v>
      </c>
      <c r="L90" s="6"/>
      <c r="M90" s="20">
        <f>aSIFSTIME</f>
        <v>1E-05</v>
      </c>
      <c r="N90" s="21">
        <f>N89+M90</f>
        <v>0.005795272727272729</v>
      </c>
    </row>
    <row r="91" spans="1:14" ht="12.75">
      <c r="A91" s="23" t="s">
        <v>82</v>
      </c>
      <c r="B91" s="31">
        <v>1E-05</v>
      </c>
      <c r="C91" s="6" t="s">
        <v>104</v>
      </c>
      <c r="D91" s="19"/>
      <c r="F91" s="4" t="s">
        <v>85</v>
      </c>
      <c r="G91" s="6">
        <f>Preamble+PLCP</f>
        <v>192</v>
      </c>
      <c r="H91" s="20">
        <f>G91/bitspersec</f>
        <v>8.727272727272728E-06</v>
      </c>
      <c r="I91" s="21">
        <f t="shared" si="4"/>
        <v>0.009031272727272733</v>
      </c>
      <c r="K91" s="4" t="s">
        <v>85</v>
      </c>
      <c r="L91" s="6">
        <f>Preamble+PLCP</f>
        <v>192</v>
      </c>
      <c r="M91" s="20">
        <f>L91/bitspersec</f>
        <v>8.727272727272728E-06</v>
      </c>
      <c r="N91" s="21">
        <f>N90+M91</f>
        <v>0.005804000000000002</v>
      </c>
    </row>
    <row r="92" spans="1:14" ht="12.75">
      <c r="A92" s="23" t="s">
        <v>83</v>
      </c>
      <c r="B92" s="30">
        <v>2E-05</v>
      </c>
      <c r="C92" s="6" t="s">
        <v>104</v>
      </c>
      <c r="D92" s="19"/>
      <c r="F92" s="4" t="s">
        <v>61</v>
      </c>
      <c r="G92" s="6">
        <f>AckOvrHd</f>
        <v>112</v>
      </c>
      <c r="H92" s="20">
        <f>G92/bitspersec</f>
        <v>5.090909090909091E-06</v>
      </c>
      <c r="I92" s="21">
        <f t="shared" si="4"/>
        <v>0.009036363636363643</v>
      </c>
      <c r="K92" s="4" t="s">
        <v>61</v>
      </c>
      <c r="L92" s="6">
        <f>AckOvrHd</f>
        <v>112</v>
      </c>
      <c r="M92" s="20">
        <f>L92/bitspersec</f>
        <v>5.090909090909091E-06</v>
      </c>
      <c r="N92" s="21">
        <f>N91+M92</f>
        <v>0.005809090909090911</v>
      </c>
    </row>
    <row r="93" spans="1:14" ht="12.75">
      <c r="A93" s="33" t="s">
        <v>305</v>
      </c>
      <c r="B93" s="20">
        <f>aSIFSTIME+(2*aSlotTime)</f>
        <v>5E-05</v>
      </c>
      <c r="C93" s="12" t="s">
        <v>104</v>
      </c>
      <c r="D93" s="19"/>
      <c r="F93" s="4" t="s">
        <v>64</v>
      </c>
      <c r="G93" s="6"/>
      <c r="H93" s="20">
        <f>aSIFSTIME+(2*aSlotTime)</f>
        <v>5E-05</v>
      </c>
      <c r="I93" s="21">
        <f t="shared" si="4"/>
        <v>0.009086363636363642</v>
      </c>
      <c r="K93" s="4" t="s">
        <v>64</v>
      </c>
      <c r="L93" s="7"/>
      <c r="M93" s="20">
        <f>aSIFSTIME+(2*aSlotTime)</f>
        <v>5E-05</v>
      </c>
      <c r="N93" s="21">
        <f>N92+M93</f>
        <v>0.005859090909090911</v>
      </c>
    </row>
    <row r="94" spans="1:14" ht="12.75">
      <c r="A94" s="33"/>
      <c r="B94" s="36"/>
      <c r="C94" s="12"/>
      <c r="D94" s="19"/>
      <c r="F94" s="4" t="s">
        <v>85</v>
      </c>
      <c r="G94" s="6">
        <f>Preamble+PLCP</f>
        <v>192</v>
      </c>
      <c r="H94" s="20">
        <f>G94/bitspersec</f>
        <v>8.727272727272728E-06</v>
      </c>
      <c r="I94" s="21">
        <f t="shared" si="4"/>
        <v>0.009095090909090916</v>
      </c>
      <c r="K94" s="4" t="s">
        <v>85</v>
      </c>
      <c r="L94" s="6">
        <f>Preamble+PLCP</f>
        <v>192</v>
      </c>
      <c r="M94" s="20">
        <f>L94/bitspersec</f>
        <v>8.727272727272728E-06</v>
      </c>
      <c r="N94" s="21">
        <f>N93+M94</f>
        <v>0.005867818181818184</v>
      </c>
    </row>
    <row r="95" spans="1:14" ht="12.75">
      <c r="A95" s="23" t="s">
        <v>90</v>
      </c>
      <c r="B95" s="34">
        <v>144</v>
      </c>
      <c r="C95" s="6" t="s">
        <v>107</v>
      </c>
      <c r="D95" s="19"/>
      <c r="F95" s="4" t="s">
        <v>99</v>
      </c>
      <c r="G95" s="6">
        <f>MacPayLdHdr</f>
        <v>272</v>
      </c>
      <c r="H95" s="20">
        <f>G95/bitspersec</f>
        <v>1.2363636363636364E-05</v>
      </c>
      <c r="I95" s="21">
        <f>I94+H95+((Payload*8)/bitspersec)</f>
        <v>0.009658000000000007</v>
      </c>
      <c r="K95" s="4" t="s">
        <v>99</v>
      </c>
      <c r="L95" s="6">
        <f>MacPayLdHdr</f>
        <v>272</v>
      </c>
      <c r="M95" s="20">
        <f>L95/bitspersec</f>
        <v>1.2363636363636364E-05</v>
      </c>
      <c r="N95" s="21">
        <f>N94+M95+((Payload*8)/bitspersec)</f>
        <v>0.0064307272727272755</v>
      </c>
    </row>
    <row r="96" spans="1:14" ht="12.75">
      <c r="A96" s="23" t="s">
        <v>111</v>
      </c>
      <c r="B96" s="25">
        <v>48</v>
      </c>
      <c r="C96" s="6" t="s">
        <v>107</v>
      </c>
      <c r="D96" s="19"/>
      <c r="F96" s="4" t="s">
        <v>56</v>
      </c>
      <c r="G96" s="6"/>
      <c r="H96" s="20">
        <f>aSIFSTIME</f>
        <v>1E-05</v>
      </c>
      <c r="I96" s="21">
        <f t="shared" si="4"/>
        <v>0.009668000000000006</v>
      </c>
      <c r="K96" s="4" t="s">
        <v>56</v>
      </c>
      <c r="L96" s="6"/>
      <c r="M96" s="20">
        <f>aSIFSTIME</f>
        <v>1E-05</v>
      </c>
      <c r="N96" s="21">
        <f>N95+M96</f>
        <v>0.006440727272727275</v>
      </c>
    </row>
    <row r="97" spans="4:14" ht="12.75">
      <c r="D97" s="19"/>
      <c r="F97" s="4" t="s">
        <v>85</v>
      </c>
      <c r="G97" s="6">
        <f>Preamble+PLCP</f>
        <v>192</v>
      </c>
      <c r="H97" s="20">
        <f>G97/bitspersec</f>
        <v>8.727272727272728E-06</v>
      </c>
      <c r="I97" s="21">
        <f t="shared" si="4"/>
        <v>0.00967672727272728</v>
      </c>
      <c r="K97" s="4" t="s">
        <v>85</v>
      </c>
      <c r="L97" s="6">
        <f>Preamble+PLCP</f>
        <v>192</v>
      </c>
      <c r="M97" s="20">
        <f>L97/bitspersec</f>
        <v>8.727272727272728E-06</v>
      </c>
      <c r="N97" s="21">
        <f>N96+M97</f>
        <v>0.006449454545454548</v>
      </c>
    </row>
    <row r="98" spans="1:14" ht="12.75">
      <c r="A98" s="40" t="s">
        <v>114</v>
      </c>
      <c r="B98" s="41"/>
      <c r="C98" s="41"/>
      <c r="D98" s="19"/>
      <c r="F98" s="4" t="s">
        <v>101</v>
      </c>
      <c r="G98" s="6">
        <f>AckOvrHd</f>
        <v>112</v>
      </c>
      <c r="H98" s="20">
        <f>G98/bitspersec</f>
        <v>5.090909090909091E-06</v>
      </c>
      <c r="I98" s="21">
        <f t="shared" si="4"/>
        <v>0.009681818181818189</v>
      </c>
      <c r="K98" s="4" t="s">
        <v>63</v>
      </c>
      <c r="L98" s="6">
        <f>AckOvrHd</f>
        <v>112</v>
      </c>
      <c r="M98" s="20">
        <f>L98/bitspersec</f>
        <v>5.090909090909091E-06</v>
      </c>
      <c r="N98" s="21">
        <f>N97+M98</f>
        <v>0.006454545454545458</v>
      </c>
    </row>
    <row r="99" spans="1:14" ht="12.75">
      <c r="A99" s="23" t="s">
        <v>91</v>
      </c>
      <c r="B99" s="25">
        <v>1514</v>
      </c>
      <c r="C99" s="6" t="s">
        <v>108</v>
      </c>
      <c r="D99" s="19"/>
      <c r="F99" s="42"/>
      <c r="G99" s="28"/>
      <c r="H99" s="43"/>
      <c r="I99" s="35"/>
      <c r="K99" s="42"/>
      <c r="L99" s="28"/>
      <c r="M99" s="43"/>
      <c r="N99" s="35"/>
    </row>
    <row r="100" spans="4:9" ht="12.75">
      <c r="D100" s="19"/>
      <c r="F100" s="10"/>
      <c r="H100" s="17"/>
      <c r="I100" s="19"/>
    </row>
    <row r="101" spans="1:9" ht="12.75">
      <c r="A101" s="40" t="s">
        <v>113</v>
      </c>
      <c r="B101" s="40"/>
      <c r="C101" s="40"/>
      <c r="D101" s="19"/>
      <c r="G101" s="1"/>
      <c r="H101" s="1"/>
      <c r="I101" s="1"/>
    </row>
    <row r="102" spans="1:14" ht="12.75">
      <c r="A102" s="23" t="s">
        <v>120</v>
      </c>
      <c r="B102" s="6">
        <v>272</v>
      </c>
      <c r="C102" s="6" t="s">
        <v>107</v>
      </c>
      <c r="D102" s="18"/>
      <c r="F102" s="6" t="s">
        <v>97</v>
      </c>
      <c r="G102" s="6"/>
      <c r="H102" s="20">
        <f>SUM(H3:H98)</f>
        <v>0.0014236363636363626</v>
      </c>
      <c r="I102" s="20" t="s">
        <v>104</v>
      </c>
      <c r="K102" s="6" t="s">
        <v>97</v>
      </c>
      <c r="L102" s="6"/>
      <c r="M102" s="20"/>
      <c r="N102" s="20" t="s">
        <v>104</v>
      </c>
    </row>
    <row r="103" spans="1:14" ht="12.75">
      <c r="A103" s="23" t="s">
        <v>110</v>
      </c>
      <c r="B103" s="6">
        <v>112</v>
      </c>
      <c r="C103" s="6" t="s">
        <v>107</v>
      </c>
      <c r="E103" s="16"/>
      <c r="F103" s="23" t="s">
        <v>80</v>
      </c>
      <c r="G103" s="6">
        <f>SUM(G3:G99)</f>
        <v>11520</v>
      </c>
      <c r="H103" s="6"/>
      <c r="I103" s="20"/>
      <c r="K103" s="23" t="s">
        <v>80</v>
      </c>
      <c r="L103" s="6"/>
      <c r="M103" s="6"/>
      <c r="N103" s="20"/>
    </row>
    <row r="104" spans="5:14" ht="12.75">
      <c r="E104" s="15"/>
      <c r="F104" s="23" t="s">
        <v>115</v>
      </c>
      <c r="G104" s="6">
        <f>(COUNTIF(F3:F97,"Data_*")*(Payload*8))</f>
        <v>181680</v>
      </c>
      <c r="H104" s="20">
        <f>G104/bitspersec</f>
        <v>0.008258181818181819</v>
      </c>
      <c r="I104" s="20" t="s">
        <v>104</v>
      </c>
      <c r="K104" s="23" t="s">
        <v>115</v>
      </c>
      <c r="L104" s="6"/>
      <c r="M104" s="20"/>
      <c r="N104" s="20" t="s">
        <v>104</v>
      </c>
    </row>
    <row r="105" spans="1:14" ht="12.75">
      <c r="A105" s="57" t="s">
        <v>119</v>
      </c>
      <c r="B105" s="56"/>
      <c r="C105" s="56"/>
      <c r="F105" s="24" t="s">
        <v>103</v>
      </c>
      <c r="G105" s="22"/>
      <c r="H105" s="22">
        <f>H104/(H104+H102)</f>
        <v>0.8529577464788733</v>
      </c>
      <c r="I105" s="22"/>
      <c r="K105" s="24" t="s">
        <v>103</v>
      </c>
      <c r="L105" s="22"/>
      <c r="M105" s="22"/>
      <c r="N105" s="22"/>
    </row>
    <row r="106" spans="1:14" ht="12.75">
      <c r="A106" t="s">
        <v>320</v>
      </c>
      <c r="F106" s="24"/>
      <c r="G106" s="22"/>
      <c r="H106" s="22"/>
      <c r="I106" s="22"/>
      <c r="K106" s="24"/>
      <c r="L106" s="22"/>
      <c r="M106" s="22"/>
      <c r="N106" s="22"/>
    </row>
    <row r="107" spans="1:14" ht="12.75">
      <c r="A107" t="s">
        <v>132</v>
      </c>
      <c r="F107" s="23" t="s">
        <v>86</v>
      </c>
      <c r="G107" s="6"/>
      <c r="H107" s="21">
        <f>bitspersec*H105</f>
        <v>18765070.422535215</v>
      </c>
      <c r="I107" s="21" t="s">
        <v>105</v>
      </c>
      <c r="K107" s="23" t="s">
        <v>86</v>
      </c>
      <c r="L107" s="6"/>
      <c r="M107" s="21"/>
      <c r="N107" s="21" t="s">
        <v>105</v>
      </c>
    </row>
    <row r="108" ht="12.75">
      <c r="A108" t="s">
        <v>145</v>
      </c>
    </row>
    <row r="109" spans="1:14" ht="13.5" thickBot="1">
      <c r="A109" t="s">
        <v>121</v>
      </c>
      <c r="F109" s="75" t="s">
        <v>357</v>
      </c>
      <c r="G109" s="77"/>
      <c r="H109" s="124"/>
      <c r="I109" s="78"/>
      <c r="J109" s="61"/>
      <c r="K109" s="50" t="s">
        <v>140</v>
      </c>
      <c r="L109" s="52"/>
      <c r="M109" s="52"/>
      <c r="N109" s="53"/>
    </row>
    <row r="110" spans="1:14" ht="13.5" thickTop="1">
      <c r="A110" t="s">
        <v>122</v>
      </c>
      <c r="F110" s="125"/>
      <c r="G110" s="126"/>
      <c r="H110" s="127"/>
      <c r="I110" s="128"/>
      <c r="J110" s="28"/>
      <c r="K110" s="54" t="s">
        <v>358</v>
      </c>
      <c r="L110" s="28"/>
      <c r="M110" s="28"/>
      <c r="N110" s="46"/>
    </row>
    <row r="111" spans="1:14" ht="12.75">
      <c r="A111" t="s">
        <v>144</v>
      </c>
      <c r="F111" s="54" t="s">
        <v>303</v>
      </c>
      <c r="G111" s="251"/>
      <c r="H111" s="35"/>
      <c r="I111" s="252"/>
      <c r="J111" s="28"/>
      <c r="K111" s="45"/>
      <c r="L111" s="28"/>
      <c r="M111" s="28"/>
      <c r="N111" s="46"/>
    </row>
    <row r="112" spans="1:14" ht="12.75">
      <c r="A112" t="s">
        <v>123</v>
      </c>
      <c r="F112" s="54" t="s">
        <v>304</v>
      </c>
      <c r="G112" s="251"/>
      <c r="H112" s="35"/>
      <c r="I112" s="252"/>
      <c r="J112" s="28"/>
      <c r="K112" s="55" t="s">
        <v>109</v>
      </c>
      <c r="L112" s="48"/>
      <c r="M112" s="48"/>
      <c r="N112" s="49"/>
    </row>
    <row r="113" spans="1:10" ht="12.75">
      <c r="A113" t="s">
        <v>124</v>
      </c>
      <c r="F113" s="54"/>
      <c r="G113" s="251" t="s">
        <v>193</v>
      </c>
      <c r="H113" s="43">
        <f>(B93+(2*(Preamble+PLCP)/bitspersec)+(MacPayLdHdr/bitspersec)+aSIFSTIME+(AckOvrHd/bitspersec))</f>
        <v>9.49090909090909E-05</v>
      </c>
      <c r="I113" s="253"/>
      <c r="J113" s="28"/>
    </row>
    <row r="114" spans="1:9" ht="12.75">
      <c r="A114" t="s">
        <v>141</v>
      </c>
      <c r="F114" s="54"/>
      <c r="G114" s="251"/>
      <c r="H114" s="43"/>
      <c r="I114" s="252"/>
    </row>
    <row r="115" spans="1:9" ht="12.75">
      <c r="A115" t="s">
        <v>142</v>
      </c>
      <c r="F115" s="54"/>
      <c r="G115" s="130" t="s">
        <v>302</v>
      </c>
      <c r="H115" s="43">
        <f>Payload*8/bitspersec</f>
        <v>0.0005505454545454545</v>
      </c>
      <c r="I115" s="252"/>
    </row>
    <row r="116" spans="1:9" ht="12.75">
      <c r="A116" t="s">
        <v>143</v>
      </c>
      <c r="F116" s="54"/>
      <c r="G116" s="251"/>
      <c r="H116" s="35"/>
      <c r="I116" s="252"/>
    </row>
    <row r="117" spans="1:9" ht="12.75">
      <c r="A117" t="s">
        <v>125</v>
      </c>
      <c r="F117" s="54" t="s">
        <v>196</v>
      </c>
      <c r="G117" s="251"/>
      <c r="H117" s="35"/>
      <c r="I117" s="252"/>
    </row>
    <row r="118" spans="1:9" ht="12.75">
      <c r="A118" t="s">
        <v>126</v>
      </c>
      <c r="F118" s="54"/>
      <c r="G118" s="251" t="s">
        <v>197</v>
      </c>
      <c r="H118" s="254">
        <f>H115/(H115+H113)</f>
        <v>0.8529577464788732</v>
      </c>
      <c r="I118" s="252"/>
    </row>
    <row r="119" spans="1:9" ht="12.75">
      <c r="A119" t="s">
        <v>127</v>
      </c>
      <c r="B119" s="16"/>
      <c r="F119" s="132" t="s">
        <v>198</v>
      </c>
      <c r="G119" s="251"/>
      <c r="H119" s="27"/>
      <c r="I119" s="252"/>
    </row>
    <row r="120" spans="1:9" ht="12.75">
      <c r="A120" s="60" t="s">
        <v>146</v>
      </c>
      <c r="B120" s="16"/>
      <c r="F120" s="55"/>
      <c r="G120" s="255" t="s">
        <v>199</v>
      </c>
      <c r="H120" s="256">
        <f>H118*bitspersec</f>
        <v>18765070.42253521</v>
      </c>
      <c r="I120" s="257"/>
    </row>
    <row r="121" spans="1:2" ht="12.75">
      <c r="A121" s="58" t="s">
        <v>128</v>
      </c>
      <c r="B121" s="16"/>
    </row>
    <row r="122" ht="12.75">
      <c r="A122" s="59" t="s">
        <v>129</v>
      </c>
    </row>
    <row r="123" ht="12.75">
      <c r="A123" s="59" t="s">
        <v>130</v>
      </c>
    </row>
    <row r="124" ht="12.75">
      <c r="A124" s="59" t="s">
        <v>131</v>
      </c>
    </row>
    <row r="125" ht="12.75">
      <c r="A125" s="59"/>
    </row>
    <row r="126" ht="12.75">
      <c r="A126" s="1"/>
    </row>
    <row r="127" ht="12.75">
      <c r="A127" s="1"/>
    </row>
    <row r="129" ht="12.75">
      <c r="A129" s="1"/>
    </row>
    <row r="130" ht="12.75">
      <c r="A130" s="1"/>
    </row>
    <row r="132" ht="12.75">
      <c r="A132" s="1"/>
    </row>
  </sheetData>
  <printOptions/>
  <pageMargins left="0.75" right="0.75" top="1" bottom="1" header="0.5" footer="0.5"/>
  <pageSetup horizontalDpi="600" verticalDpi="600" orientation="portrait" scale="80" r:id="rId1"/>
  <headerFooter alignWithMargins="0">
    <oddHeader>&amp;LNovember, 2000&amp;RIEEE P802.15.3 00/354r1</oddHeader>
    <oddFooter>&amp;LSubmission&amp;C&amp;P&amp;RAllen Heberling, Eastman Kodak, Co.</oddFooter>
  </headerFooter>
</worksheet>
</file>

<file path=xl/worksheets/sheet5.xml><?xml version="1.0" encoding="utf-8"?>
<worksheet xmlns="http://schemas.openxmlformats.org/spreadsheetml/2006/main" xmlns:r="http://schemas.openxmlformats.org/officeDocument/2006/relationships">
  <dimension ref="A1:O185"/>
  <sheetViews>
    <sheetView zoomScale="75" zoomScaleNormal="75" workbookViewId="0" topLeftCell="A71">
      <selection activeCell="H107" sqref="H107"/>
    </sheetView>
  </sheetViews>
  <sheetFormatPr defaultColWidth="9.140625" defaultRowHeight="12.75"/>
  <cols>
    <col min="1" max="1" width="24.421875" style="0" bestFit="1" customWidth="1"/>
    <col min="3" max="3" width="11.7109375" style="0" bestFit="1" customWidth="1"/>
    <col min="4" max="4" width="9.7109375" style="0" customWidth="1"/>
    <col min="6" max="6" width="24.421875" style="0" bestFit="1" customWidth="1"/>
    <col min="8" max="8" width="11.7109375" style="0" bestFit="1" customWidth="1"/>
    <col min="9" max="9" width="9.28125" style="0" customWidth="1"/>
    <col min="11" max="11" width="20.7109375" style="0" customWidth="1"/>
    <col min="13" max="13" width="11.7109375" style="0" bestFit="1" customWidth="1"/>
    <col min="14" max="14" width="10.57421875" style="0" customWidth="1"/>
    <col min="15" max="15" width="10.8515625" style="0" bestFit="1" customWidth="1"/>
  </cols>
  <sheetData>
    <row r="1" spans="1:14" ht="12.75">
      <c r="A1" s="71" t="s">
        <v>147</v>
      </c>
      <c r="B1" s="72"/>
      <c r="C1" s="72"/>
      <c r="D1" s="73"/>
      <c r="E1" s="1"/>
      <c r="F1" s="71" t="s">
        <v>148</v>
      </c>
      <c r="G1" s="74"/>
      <c r="H1" s="74"/>
      <c r="I1" s="11"/>
      <c r="J1" s="1"/>
      <c r="K1" s="274"/>
      <c r="L1" s="274"/>
      <c r="M1" s="274"/>
      <c r="N1" s="274"/>
    </row>
    <row r="2" spans="1:14" ht="22.5">
      <c r="A2" s="68"/>
      <c r="B2" s="68" t="s">
        <v>79</v>
      </c>
      <c r="C2" s="69" t="s">
        <v>84</v>
      </c>
      <c r="D2" s="70" t="s">
        <v>306</v>
      </c>
      <c r="E2" s="1"/>
      <c r="F2" s="6"/>
      <c r="G2" s="4" t="s">
        <v>79</v>
      </c>
      <c r="H2" s="3" t="s">
        <v>84</v>
      </c>
      <c r="I2" s="3" t="s">
        <v>306</v>
      </c>
      <c r="J2" s="1"/>
      <c r="K2" s="268"/>
      <c r="L2" s="270"/>
      <c r="M2" s="275"/>
      <c r="N2" s="275"/>
    </row>
    <row r="3" spans="1:14" ht="12.75">
      <c r="A3" s="4" t="s">
        <v>64</v>
      </c>
      <c r="B3" s="6"/>
      <c r="C3" s="20">
        <f>aDIFSTIME_K</f>
        <v>2.6454545454545458E-05</v>
      </c>
      <c r="D3" s="21">
        <f>0+C3</f>
        <v>2.6454545454545458E-05</v>
      </c>
      <c r="E3" s="1"/>
      <c r="F3" s="4" t="s">
        <v>64</v>
      </c>
      <c r="G3" s="6"/>
      <c r="H3" s="20">
        <f>aDIFSTIME_K</f>
        <v>2.6454545454545458E-05</v>
      </c>
      <c r="I3" s="21">
        <f>0+H3</f>
        <v>2.6454545454545458E-05</v>
      </c>
      <c r="J3" s="1"/>
      <c r="K3" s="270"/>
      <c r="L3" s="268"/>
      <c r="M3" s="271"/>
      <c r="N3" s="272"/>
    </row>
    <row r="4" spans="1:14" ht="12.75">
      <c r="A4" s="4" t="s">
        <v>85</v>
      </c>
      <c r="B4" s="6">
        <f>Preamble_K+PLCP_K</f>
        <v>104</v>
      </c>
      <c r="C4" s="20">
        <f>B4/bitspersec_K</f>
        <v>4.727272727272727E-06</v>
      </c>
      <c r="D4" s="21">
        <f aca="true" t="shared" si="0" ref="D4:D67">D3+C4</f>
        <v>3.1181818181818186E-05</v>
      </c>
      <c r="E4" s="1"/>
      <c r="F4" s="4" t="s">
        <v>85</v>
      </c>
      <c r="G4" s="6">
        <f>Preamble_K+PLCP_K</f>
        <v>104</v>
      </c>
      <c r="H4" s="20">
        <f>G4/bitspersec_K</f>
        <v>4.727272727272727E-06</v>
      </c>
      <c r="I4" s="21">
        <f aca="true" t="shared" si="1" ref="I4:I67">I3+H4</f>
        <v>3.1181818181818186E-05</v>
      </c>
      <c r="J4" s="1"/>
      <c r="K4" s="270"/>
      <c r="L4" s="268"/>
      <c r="M4" s="271"/>
      <c r="N4" s="272"/>
    </row>
    <row r="5" spans="1:14" ht="12.75">
      <c r="A5" s="4" t="s">
        <v>55</v>
      </c>
      <c r="B5" s="6">
        <v>112</v>
      </c>
      <c r="C5" s="20">
        <f>B5/bitspersec_K</f>
        <v>5.090909090909091E-06</v>
      </c>
      <c r="D5" s="21">
        <f t="shared" si="0"/>
        <v>3.627272727272728E-05</v>
      </c>
      <c r="E5" s="1"/>
      <c r="F5" s="4" t="s">
        <v>87</v>
      </c>
      <c r="G5" s="6">
        <f>MacPayLdHdr_K</f>
        <v>104</v>
      </c>
      <c r="H5" s="20">
        <f>G5/bitspersec_K</f>
        <v>4.727272727272727E-06</v>
      </c>
      <c r="I5" s="21">
        <f>I4+H5+((Payload_K*8)/bitspersec_K)</f>
        <v>0.0005864545454545454</v>
      </c>
      <c r="J5" s="1"/>
      <c r="K5" s="270"/>
      <c r="L5" s="268"/>
      <c r="M5" s="271"/>
      <c r="N5" s="272"/>
    </row>
    <row r="6" spans="1:14" ht="12.75">
      <c r="A6" s="4" t="s">
        <v>56</v>
      </c>
      <c r="B6" s="6"/>
      <c r="C6" s="20">
        <f>aSIFSTIME_K</f>
        <v>1E-05</v>
      </c>
      <c r="D6" s="21">
        <f t="shared" si="0"/>
        <v>4.627272727272728E-05</v>
      </c>
      <c r="E6" s="1"/>
      <c r="F6" s="4" t="s">
        <v>56</v>
      </c>
      <c r="G6" s="6"/>
      <c r="H6" s="20">
        <f>aSIFSTIME_K</f>
        <v>1E-05</v>
      </c>
      <c r="I6" s="21">
        <f t="shared" si="1"/>
        <v>0.0005964545454545454</v>
      </c>
      <c r="J6" s="1"/>
      <c r="K6" s="270"/>
      <c r="L6" s="268"/>
      <c r="M6" s="271"/>
      <c r="N6" s="272"/>
    </row>
    <row r="7" spans="1:14" ht="12.75">
      <c r="A7" s="4" t="s">
        <v>85</v>
      </c>
      <c r="B7" s="6">
        <f>Preamble_K+PLCP_K</f>
        <v>104</v>
      </c>
      <c r="C7" s="20">
        <f>B7/bitspersec_K</f>
        <v>4.727272727272727E-06</v>
      </c>
      <c r="D7" s="21">
        <f t="shared" si="0"/>
        <v>5.1000000000000006E-05</v>
      </c>
      <c r="E7" s="1"/>
      <c r="F7" s="4" t="s">
        <v>85</v>
      </c>
      <c r="G7" s="6">
        <f>Preamble_K+PLCP_K</f>
        <v>104</v>
      </c>
      <c r="H7" s="20">
        <f>G7/bitspersec_K</f>
        <v>4.727272727272727E-06</v>
      </c>
      <c r="I7" s="21">
        <f t="shared" si="1"/>
        <v>0.0006011818181818181</v>
      </c>
      <c r="J7" s="1"/>
      <c r="K7" s="270"/>
      <c r="L7" s="268"/>
      <c r="M7" s="271"/>
      <c r="N7" s="272"/>
    </row>
    <row r="8" spans="1:14" ht="12.75">
      <c r="A8" s="4" t="s">
        <v>57</v>
      </c>
      <c r="B8" s="6">
        <f>8*14</f>
        <v>112</v>
      </c>
      <c r="C8" s="20">
        <f>B8/bitspersec_K</f>
        <v>5.090909090909091E-06</v>
      </c>
      <c r="D8" s="21">
        <f t="shared" si="0"/>
        <v>5.60909090909091E-05</v>
      </c>
      <c r="E8" s="1"/>
      <c r="F8" s="4" t="s">
        <v>59</v>
      </c>
      <c r="G8" s="6">
        <f>AckOvrHd_K</f>
        <v>104</v>
      </c>
      <c r="H8" s="20">
        <f>G8/bitspersec_K</f>
        <v>4.727272727272727E-06</v>
      </c>
      <c r="I8" s="21">
        <f t="shared" si="1"/>
        <v>0.0006059090909090908</v>
      </c>
      <c r="J8" s="1"/>
      <c r="K8" s="270"/>
      <c r="L8" s="268"/>
      <c r="M8" s="271"/>
      <c r="N8" s="272"/>
    </row>
    <row r="9" spans="1:14" ht="12.75">
      <c r="A9" s="4" t="s">
        <v>56</v>
      </c>
      <c r="B9" s="6"/>
      <c r="C9" s="20">
        <f>aSIFSTIME_K</f>
        <v>1E-05</v>
      </c>
      <c r="D9" s="21">
        <f t="shared" si="0"/>
        <v>6.60909090909091E-05</v>
      </c>
      <c r="E9" s="1"/>
      <c r="F9" s="4" t="s">
        <v>64</v>
      </c>
      <c r="G9" s="6"/>
      <c r="H9" s="20">
        <f>aDIFSTIME_K</f>
        <v>2.6454545454545458E-05</v>
      </c>
      <c r="I9" s="21">
        <f t="shared" si="1"/>
        <v>0.0006323636363636362</v>
      </c>
      <c r="J9" s="1"/>
      <c r="K9" s="270"/>
      <c r="L9" s="268"/>
      <c r="M9" s="271"/>
      <c r="N9" s="272"/>
    </row>
    <row r="10" spans="1:14" ht="12.75">
      <c r="A10" s="4" t="s">
        <v>85</v>
      </c>
      <c r="B10" s="6">
        <f>Preamble_K+PLCP_K</f>
        <v>104</v>
      </c>
      <c r="C10" s="20">
        <f>B10/bitspersec_K</f>
        <v>4.727272727272727E-06</v>
      </c>
      <c r="D10" s="21">
        <f t="shared" si="0"/>
        <v>7.081818181818183E-05</v>
      </c>
      <c r="E10" s="1"/>
      <c r="F10" s="4" t="s">
        <v>85</v>
      </c>
      <c r="G10" s="6">
        <f>Preamble_K+PLCP_K</f>
        <v>104</v>
      </c>
      <c r="H10" s="20">
        <f>G10/bitspersec_K</f>
        <v>4.727272727272727E-06</v>
      </c>
      <c r="I10" s="21">
        <f t="shared" si="1"/>
        <v>0.0006370909090909089</v>
      </c>
      <c r="J10" s="1"/>
      <c r="K10" s="270"/>
      <c r="L10" s="268"/>
      <c r="M10" s="271"/>
      <c r="N10" s="272"/>
    </row>
    <row r="11" spans="1:14" ht="12.75">
      <c r="A11" s="4" t="s">
        <v>58</v>
      </c>
      <c r="B11" s="6">
        <v>128</v>
      </c>
      <c r="C11" s="20">
        <f>B11/bitspersec_K</f>
        <v>5.8181818181818185E-06</v>
      </c>
      <c r="D11" s="21">
        <f>D10+C11+((Payload_K*8)/bitspersec_K)</f>
        <v>0.0006271818181818182</v>
      </c>
      <c r="E11" s="1"/>
      <c r="F11" s="4" t="s">
        <v>88</v>
      </c>
      <c r="G11" s="6">
        <f>MacPayLdHdr_K</f>
        <v>104</v>
      </c>
      <c r="H11" s="20">
        <f>G11/bitspersec_K</f>
        <v>4.727272727272727E-06</v>
      </c>
      <c r="I11" s="21">
        <f>I10+H11+((Payload_K*8)/bitspersec_K)</f>
        <v>0.001192363636363636</v>
      </c>
      <c r="J11" s="1"/>
      <c r="K11" s="270"/>
      <c r="L11" s="268"/>
      <c r="M11" s="271"/>
      <c r="N11" s="272"/>
    </row>
    <row r="12" spans="1:14" ht="12.75">
      <c r="A12" s="4" t="s">
        <v>56</v>
      </c>
      <c r="B12" s="6"/>
      <c r="C12" s="20">
        <f>aSIFSTIME_K</f>
        <v>1E-05</v>
      </c>
      <c r="D12" s="21">
        <f t="shared" si="0"/>
        <v>0.0006371818181818182</v>
      </c>
      <c r="E12" s="1"/>
      <c r="F12" s="4" t="s">
        <v>56</v>
      </c>
      <c r="G12" s="6"/>
      <c r="H12" s="20">
        <f>aSIFSTIME_K</f>
        <v>1E-05</v>
      </c>
      <c r="I12" s="21">
        <f t="shared" si="1"/>
        <v>0.001202363636363636</v>
      </c>
      <c r="J12" s="1"/>
      <c r="K12" s="270"/>
      <c r="L12" s="268"/>
      <c r="M12" s="271"/>
      <c r="N12" s="272"/>
    </row>
    <row r="13" spans="1:15" ht="12.75">
      <c r="A13" s="4" t="s">
        <v>85</v>
      </c>
      <c r="B13" s="6">
        <f>Preamble_K+PLCP_K</f>
        <v>104</v>
      </c>
      <c r="C13" s="20">
        <f>B13/bitspersec_K</f>
        <v>4.727272727272727E-06</v>
      </c>
      <c r="D13" s="21">
        <f t="shared" si="0"/>
        <v>0.0006419090909090909</v>
      </c>
      <c r="E13" s="1"/>
      <c r="F13" s="4" t="s">
        <v>85</v>
      </c>
      <c r="G13" s="6">
        <f>Preamble_K+PLCP_K</f>
        <v>104</v>
      </c>
      <c r="H13" s="20">
        <f>G13/bitspersec_K</f>
        <v>4.727272727272727E-06</v>
      </c>
      <c r="I13" s="21">
        <f t="shared" si="1"/>
        <v>0.0012070909090909087</v>
      </c>
      <c r="J13" s="1"/>
      <c r="K13" s="270"/>
      <c r="L13" s="268"/>
      <c r="M13" s="271"/>
      <c r="N13" s="272"/>
      <c r="O13" s="18"/>
    </row>
    <row r="14" spans="1:15" ht="12.75">
      <c r="A14" s="4" t="s">
        <v>59</v>
      </c>
      <c r="B14" s="6">
        <f>8*14</f>
        <v>112</v>
      </c>
      <c r="C14" s="20">
        <f>B14/bitspersec_K</f>
        <v>5.090909090909091E-06</v>
      </c>
      <c r="D14" s="21">
        <f t="shared" si="0"/>
        <v>0.000647</v>
      </c>
      <c r="E14" s="1"/>
      <c r="F14" s="4" t="s">
        <v>61</v>
      </c>
      <c r="G14" s="6">
        <f>AckOvrHd_K</f>
        <v>104</v>
      </c>
      <c r="H14" s="20">
        <f>G14/bitspersec_K</f>
        <v>4.727272727272727E-06</v>
      </c>
      <c r="I14" s="21">
        <f t="shared" si="1"/>
        <v>0.0012118181818181815</v>
      </c>
      <c r="J14" s="1"/>
      <c r="K14" s="270"/>
      <c r="L14" s="268"/>
      <c r="M14" s="271"/>
      <c r="N14" s="272"/>
      <c r="O14" s="15"/>
    </row>
    <row r="15" spans="1:14" ht="12.75">
      <c r="A15" s="4" t="s">
        <v>56</v>
      </c>
      <c r="B15" s="6"/>
      <c r="C15" s="20">
        <f>aSIFSTIME_K</f>
        <v>1E-05</v>
      </c>
      <c r="D15" s="21">
        <f t="shared" si="0"/>
        <v>0.000657</v>
      </c>
      <c r="E15" s="1"/>
      <c r="F15" s="4" t="s">
        <v>64</v>
      </c>
      <c r="G15" s="6"/>
      <c r="H15" s="20">
        <f>aDIFSTIME_K</f>
        <v>2.6454545454545458E-05</v>
      </c>
      <c r="I15" s="21">
        <f t="shared" si="1"/>
        <v>0.001238272727272727</v>
      </c>
      <c r="J15" s="1"/>
      <c r="K15" s="270"/>
      <c r="L15" s="268"/>
      <c r="M15" s="271"/>
      <c r="N15" s="272"/>
    </row>
    <row r="16" spans="1:14" ht="12.75">
      <c r="A16" s="4" t="s">
        <v>85</v>
      </c>
      <c r="B16" s="6">
        <f>Preamble_K+PLCP_K</f>
        <v>104</v>
      </c>
      <c r="C16" s="20">
        <f>B16/bitspersec_K</f>
        <v>4.727272727272727E-06</v>
      </c>
      <c r="D16" s="21">
        <f t="shared" si="0"/>
        <v>0.0006617272727272727</v>
      </c>
      <c r="E16" s="1"/>
      <c r="F16" s="4" t="s">
        <v>85</v>
      </c>
      <c r="G16" s="6">
        <f>Preamble_K+PLCP_K</f>
        <v>104</v>
      </c>
      <c r="H16" s="20">
        <f>G16/bitspersec_K</f>
        <v>4.727272727272727E-06</v>
      </c>
      <c r="I16" s="21">
        <f t="shared" si="1"/>
        <v>0.0012429999999999997</v>
      </c>
      <c r="J16" s="1"/>
      <c r="K16" s="270"/>
      <c r="L16" s="268"/>
      <c r="M16" s="271"/>
      <c r="N16" s="272"/>
    </row>
    <row r="17" spans="1:14" ht="12.75">
      <c r="A17" s="4" t="s">
        <v>60</v>
      </c>
      <c r="B17" s="6">
        <v>128</v>
      </c>
      <c r="C17" s="20">
        <f>B17/bitspersec_K</f>
        <v>5.8181818181818185E-06</v>
      </c>
      <c r="D17" s="21">
        <f>D16+C17+((Payload_K*8)/bitspersec_K)</f>
        <v>0.0012180909090909091</v>
      </c>
      <c r="E17" s="1"/>
      <c r="F17" s="4" t="s">
        <v>99</v>
      </c>
      <c r="G17" s="6">
        <f>MacPayLdHdr_K</f>
        <v>104</v>
      </c>
      <c r="H17" s="20">
        <f>G17/bitspersec_K</f>
        <v>4.727272727272727E-06</v>
      </c>
      <c r="I17" s="21">
        <f>I16+H17+((Payload_K*8)/bitspersec_K)</f>
        <v>0.001798272727272727</v>
      </c>
      <c r="J17" s="1"/>
      <c r="K17" s="270"/>
      <c r="L17" s="268"/>
      <c r="M17" s="271"/>
      <c r="N17" s="272"/>
    </row>
    <row r="18" spans="1:14" ht="12.75">
      <c r="A18" s="4" t="s">
        <v>56</v>
      </c>
      <c r="B18" s="6"/>
      <c r="C18" s="20">
        <f>aSIFSTIME_K</f>
        <v>1E-05</v>
      </c>
      <c r="D18" s="21">
        <f t="shared" si="0"/>
        <v>0.0012280909090909091</v>
      </c>
      <c r="E18" s="1"/>
      <c r="F18" s="4" t="s">
        <v>56</v>
      </c>
      <c r="G18" s="6"/>
      <c r="H18" s="20">
        <f>aSIFSTIME_K</f>
        <v>1E-05</v>
      </c>
      <c r="I18" s="21">
        <f t="shared" si="1"/>
        <v>0.001808272727272727</v>
      </c>
      <c r="J18" s="1"/>
      <c r="K18" s="270"/>
      <c r="L18" s="268"/>
      <c r="M18" s="271"/>
      <c r="N18" s="272"/>
    </row>
    <row r="19" spans="1:14" ht="12.75">
      <c r="A19" s="4" t="s">
        <v>85</v>
      </c>
      <c r="B19" s="6">
        <f>Preamble_K+PLCP_K</f>
        <v>104</v>
      </c>
      <c r="C19" s="20">
        <f>B19/bitspersec_K</f>
        <v>4.727272727272727E-06</v>
      </c>
      <c r="D19" s="21">
        <f t="shared" si="0"/>
        <v>0.001232818181818182</v>
      </c>
      <c r="E19" s="1"/>
      <c r="F19" s="4" t="s">
        <v>85</v>
      </c>
      <c r="G19" s="6">
        <f>Preamble_K+PLCP_K</f>
        <v>104</v>
      </c>
      <c r="H19" s="20">
        <f>G19/bitspersec_K</f>
        <v>4.727272727272727E-06</v>
      </c>
      <c r="I19" s="21">
        <f t="shared" si="1"/>
        <v>0.0018129999999999997</v>
      </c>
      <c r="J19" s="1"/>
      <c r="K19" s="270"/>
      <c r="L19" s="268"/>
      <c r="M19" s="271"/>
      <c r="N19" s="272"/>
    </row>
    <row r="20" spans="1:14" ht="12.75">
      <c r="A20" s="4" t="s">
        <v>61</v>
      </c>
      <c r="B20" s="6">
        <f>8*14</f>
        <v>112</v>
      </c>
      <c r="C20" s="20">
        <f>B20/bitspersec_K</f>
        <v>5.090909090909091E-06</v>
      </c>
      <c r="D20" s="21">
        <f t="shared" si="0"/>
        <v>0.001237909090909091</v>
      </c>
      <c r="E20" s="1"/>
      <c r="F20" s="4" t="s">
        <v>63</v>
      </c>
      <c r="G20" s="6">
        <f>AckOvrHd_K</f>
        <v>104</v>
      </c>
      <c r="H20" s="20">
        <f>G20/bitspersec_K</f>
        <v>4.727272727272727E-06</v>
      </c>
      <c r="I20" s="21">
        <f t="shared" si="1"/>
        <v>0.0018177272727272725</v>
      </c>
      <c r="J20" s="1"/>
      <c r="K20" s="270"/>
      <c r="L20" s="268"/>
      <c r="M20" s="271"/>
      <c r="N20" s="272"/>
    </row>
    <row r="21" spans="1:14" ht="12.75">
      <c r="A21" s="4" t="s">
        <v>56</v>
      </c>
      <c r="B21" s="6"/>
      <c r="C21" s="20">
        <f>aSIFSTIME_K</f>
        <v>1E-05</v>
      </c>
      <c r="D21" s="21">
        <f t="shared" si="0"/>
        <v>0.001247909090909091</v>
      </c>
      <c r="E21" s="1"/>
      <c r="F21" s="4" t="s">
        <v>64</v>
      </c>
      <c r="G21" s="6"/>
      <c r="H21" s="20">
        <f>aDIFSTIME_K</f>
        <v>2.6454545454545458E-05</v>
      </c>
      <c r="I21" s="21">
        <f t="shared" si="1"/>
        <v>0.001844181818181818</v>
      </c>
      <c r="J21" s="1"/>
      <c r="K21" s="270"/>
      <c r="L21" s="268"/>
      <c r="M21" s="271"/>
      <c r="N21" s="272"/>
    </row>
    <row r="22" spans="1:14" ht="12.75">
      <c r="A22" s="4" t="s">
        <v>85</v>
      </c>
      <c r="B22" s="6">
        <f>Preamble_K+PLCP_K</f>
        <v>104</v>
      </c>
      <c r="C22" s="20">
        <f>B22/bitspersec_K</f>
        <v>4.727272727272727E-06</v>
      </c>
      <c r="D22" s="21">
        <f t="shared" si="0"/>
        <v>0.0012526363636363638</v>
      </c>
      <c r="E22" s="1"/>
      <c r="F22" s="4" t="s">
        <v>85</v>
      </c>
      <c r="G22" s="6">
        <f>Preamble_K+PLCP_K</f>
        <v>104</v>
      </c>
      <c r="H22" s="20">
        <f>G22/bitspersec_K</f>
        <v>4.727272727272727E-06</v>
      </c>
      <c r="I22" s="21">
        <f t="shared" si="1"/>
        <v>0.0018489090909090907</v>
      </c>
      <c r="J22" s="1"/>
      <c r="K22" s="270"/>
      <c r="L22" s="268"/>
      <c r="M22" s="271"/>
      <c r="N22" s="272"/>
    </row>
    <row r="23" spans="1:14" ht="12.75">
      <c r="A23" s="4" t="s">
        <v>62</v>
      </c>
      <c r="B23" s="6">
        <v>128</v>
      </c>
      <c r="C23" s="20">
        <f>B23/bitspersec_K</f>
        <v>5.8181818181818185E-06</v>
      </c>
      <c r="D23" s="21">
        <f>D22+C23+((Payload_K*8)/bitspersec_K)</f>
        <v>0.0018090000000000003</v>
      </c>
      <c r="E23" s="1"/>
      <c r="F23" s="4" t="s">
        <v>87</v>
      </c>
      <c r="G23" s="6">
        <f>MacPayLdHdr_K</f>
        <v>104</v>
      </c>
      <c r="H23" s="20">
        <f>G23/bitspersec_K</f>
        <v>4.727272727272727E-06</v>
      </c>
      <c r="I23" s="21">
        <f>I22+H23+((Payload_K*8)/bitspersec_K)</f>
        <v>0.002404181818181818</v>
      </c>
      <c r="J23" s="1"/>
      <c r="K23" s="270"/>
      <c r="L23" s="268"/>
      <c r="M23" s="271"/>
      <c r="N23" s="272"/>
    </row>
    <row r="24" spans="1:14" ht="12.75">
      <c r="A24" s="4" t="s">
        <v>56</v>
      </c>
      <c r="B24" s="6"/>
      <c r="C24" s="20">
        <f>aSIFSTIME_K</f>
        <v>1E-05</v>
      </c>
      <c r="D24" s="21">
        <f t="shared" si="0"/>
        <v>0.0018190000000000003</v>
      </c>
      <c r="E24" s="1"/>
      <c r="F24" s="4" t="s">
        <v>56</v>
      </c>
      <c r="G24" s="6"/>
      <c r="H24" s="20">
        <f>aSIFSTIME_K</f>
        <v>1E-05</v>
      </c>
      <c r="I24" s="21">
        <f t="shared" si="1"/>
        <v>0.002414181818181818</v>
      </c>
      <c r="J24" s="1"/>
      <c r="K24" s="270"/>
      <c r="L24" s="268"/>
      <c r="M24" s="271"/>
      <c r="N24" s="272"/>
    </row>
    <row r="25" spans="1:14" ht="12.75">
      <c r="A25" s="4" t="s">
        <v>85</v>
      </c>
      <c r="B25" s="6">
        <f>Preamble_K+PLCP_K</f>
        <v>104</v>
      </c>
      <c r="C25" s="20">
        <f>B25/bitspersec_K</f>
        <v>4.727272727272727E-06</v>
      </c>
      <c r="D25" s="21">
        <f t="shared" si="0"/>
        <v>0.001823727272727273</v>
      </c>
      <c r="E25" s="1"/>
      <c r="F25" s="4" t="s">
        <v>85</v>
      </c>
      <c r="G25" s="6">
        <f>Preamble_K+PLCP_K</f>
        <v>104</v>
      </c>
      <c r="H25" s="20">
        <f>G25/bitspersec_K</f>
        <v>4.727272727272727E-06</v>
      </c>
      <c r="I25" s="21">
        <f t="shared" si="1"/>
        <v>0.0024189090909090905</v>
      </c>
      <c r="J25" s="1"/>
      <c r="K25" s="270"/>
      <c r="L25" s="268"/>
      <c r="M25" s="271"/>
      <c r="N25" s="272"/>
    </row>
    <row r="26" spans="1:14" ht="12.75">
      <c r="A26" s="4" t="s">
        <v>63</v>
      </c>
      <c r="B26" s="6">
        <f>8*14</f>
        <v>112</v>
      </c>
      <c r="C26" s="20">
        <f>B26/bitspersec_K</f>
        <v>5.090909090909091E-06</v>
      </c>
      <c r="D26" s="21">
        <f t="shared" si="0"/>
        <v>0.001828818181818182</v>
      </c>
      <c r="E26" s="1"/>
      <c r="F26" s="4" t="s">
        <v>59</v>
      </c>
      <c r="G26" s="6">
        <f>AckOvrHd_K</f>
        <v>104</v>
      </c>
      <c r="H26" s="20">
        <f>G26/bitspersec_K</f>
        <v>4.727272727272727E-06</v>
      </c>
      <c r="I26" s="21">
        <f t="shared" si="1"/>
        <v>0.002423636363636363</v>
      </c>
      <c r="J26" s="1"/>
      <c r="K26" s="270"/>
      <c r="L26" s="268"/>
      <c r="M26" s="271"/>
      <c r="N26" s="272"/>
    </row>
    <row r="27" spans="1:14" ht="12.75">
      <c r="A27" s="4" t="s">
        <v>56</v>
      </c>
      <c r="B27" s="6"/>
      <c r="C27" s="20">
        <f>aSIFSTIME_K</f>
        <v>1E-05</v>
      </c>
      <c r="D27" s="21">
        <f t="shared" si="0"/>
        <v>0.0018388181818181821</v>
      </c>
      <c r="E27" s="1"/>
      <c r="F27" s="4" t="s">
        <v>64</v>
      </c>
      <c r="G27" s="6"/>
      <c r="H27" s="20">
        <f>aDIFSTIME_K</f>
        <v>2.6454545454545458E-05</v>
      </c>
      <c r="I27" s="21">
        <f t="shared" si="1"/>
        <v>0.0024500909090909087</v>
      </c>
      <c r="J27" s="1"/>
      <c r="K27" s="270"/>
      <c r="L27" s="268"/>
      <c r="M27" s="271"/>
      <c r="N27" s="272"/>
    </row>
    <row r="28" spans="1:14" ht="12.75">
      <c r="A28" s="4" t="s">
        <v>85</v>
      </c>
      <c r="B28" s="6">
        <f>Preamble_K+PLCP_K</f>
        <v>104</v>
      </c>
      <c r="C28" s="20">
        <f>B28/bitspersec_K</f>
        <v>4.727272727272727E-06</v>
      </c>
      <c r="D28" s="21">
        <f t="shared" si="0"/>
        <v>0.001843545454545455</v>
      </c>
      <c r="E28" s="1"/>
      <c r="F28" s="4" t="s">
        <v>85</v>
      </c>
      <c r="G28" s="6">
        <f>Preamble_K+PLCP_K</f>
        <v>104</v>
      </c>
      <c r="H28" s="20">
        <f>G28/bitspersec_K</f>
        <v>4.727272727272727E-06</v>
      </c>
      <c r="I28" s="21">
        <f t="shared" si="1"/>
        <v>0.0024548181818181813</v>
      </c>
      <c r="J28" s="1"/>
      <c r="K28" s="270"/>
      <c r="L28" s="268"/>
      <c r="M28" s="271"/>
      <c r="N28" s="272"/>
    </row>
    <row r="29" spans="1:14" ht="12.75">
      <c r="A29" s="4" t="s">
        <v>65</v>
      </c>
      <c r="B29" s="6">
        <v>128</v>
      </c>
      <c r="C29" s="20">
        <f>B29/bitspersec_K</f>
        <v>5.8181818181818185E-06</v>
      </c>
      <c r="D29" s="21">
        <f>D28+C29+((Payload_K*8)/bitspersec_K)</f>
        <v>0.0023999090909090914</v>
      </c>
      <c r="E29" s="1"/>
      <c r="F29" s="4" t="s">
        <v>88</v>
      </c>
      <c r="G29" s="6">
        <f>MacPayLdHdr_K</f>
        <v>104</v>
      </c>
      <c r="H29" s="20">
        <f>G29/bitspersec_K</f>
        <v>4.727272727272727E-06</v>
      </c>
      <c r="I29" s="21">
        <f>I28+H29+((Payload_K*8)/bitspersec_K)</f>
        <v>0.0030100909090909084</v>
      </c>
      <c r="J29" s="1"/>
      <c r="K29" s="270"/>
      <c r="L29" s="268"/>
      <c r="M29" s="271"/>
      <c r="N29" s="272"/>
    </row>
    <row r="30" spans="1:14" ht="12.75">
      <c r="A30" s="4" t="s">
        <v>56</v>
      </c>
      <c r="B30" s="6"/>
      <c r="C30" s="20">
        <f>aSIFSTIME_K</f>
        <v>1E-05</v>
      </c>
      <c r="D30" s="21">
        <f t="shared" si="0"/>
        <v>0.0024099090909090915</v>
      </c>
      <c r="E30" s="1"/>
      <c r="F30" s="4" t="s">
        <v>56</v>
      </c>
      <c r="G30" s="6"/>
      <c r="H30" s="20">
        <f>aSIFSTIME_K</f>
        <v>1E-05</v>
      </c>
      <c r="I30" s="21">
        <f t="shared" si="1"/>
        <v>0.0030200909090909085</v>
      </c>
      <c r="J30" s="1"/>
      <c r="K30" s="270"/>
      <c r="L30" s="268"/>
      <c r="M30" s="271"/>
      <c r="N30" s="272"/>
    </row>
    <row r="31" spans="1:14" ht="12.75">
      <c r="A31" s="4" t="s">
        <v>85</v>
      </c>
      <c r="B31" s="6">
        <f>Preamble_K+PLCP_K</f>
        <v>104</v>
      </c>
      <c r="C31" s="20">
        <f>B31/bitspersec_K</f>
        <v>4.727272727272727E-06</v>
      </c>
      <c r="D31" s="21">
        <f t="shared" si="0"/>
        <v>0.002414636363636364</v>
      </c>
      <c r="E31" s="1"/>
      <c r="F31" s="4" t="s">
        <v>85</v>
      </c>
      <c r="G31" s="6">
        <f>Preamble_K+PLCP_K</f>
        <v>104</v>
      </c>
      <c r="H31" s="20">
        <f>G31/bitspersec_K</f>
        <v>4.727272727272727E-06</v>
      </c>
      <c r="I31" s="21">
        <f t="shared" si="1"/>
        <v>0.003024818181818181</v>
      </c>
      <c r="J31" s="1"/>
      <c r="K31" s="270"/>
      <c r="L31" s="268"/>
      <c r="M31" s="271"/>
      <c r="N31" s="272"/>
    </row>
    <row r="32" spans="1:14" ht="12.75">
      <c r="A32" s="4" t="s">
        <v>66</v>
      </c>
      <c r="B32" s="6">
        <f>8*14</f>
        <v>112</v>
      </c>
      <c r="C32" s="20">
        <f>B32/bitspersec_K</f>
        <v>5.090909090909091E-06</v>
      </c>
      <c r="D32" s="21">
        <f t="shared" si="0"/>
        <v>0.002419727272727273</v>
      </c>
      <c r="E32" s="1"/>
      <c r="F32" s="4" t="s">
        <v>100</v>
      </c>
      <c r="G32" s="6">
        <f>AckOvrHd_K</f>
        <v>104</v>
      </c>
      <c r="H32" s="20">
        <f>G32/bitspersec_K</f>
        <v>4.727272727272727E-06</v>
      </c>
      <c r="I32" s="21">
        <f t="shared" si="1"/>
        <v>0.0030295454545454536</v>
      </c>
      <c r="J32" s="1"/>
      <c r="K32" s="270"/>
      <c r="L32" s="268"/>
      <c r="M32" s="271"/>
      <c r="N32" s="272"/>
    </row>
    <row r="33" spans="1:14" ht="12.75">
      <c r="A33" s="4" t="s">
        <v>56</v>
      </c>
      <c r="B33" s="6"/>
      <c r="C33" s="20">
        <f>aSIFSTIME_K</f>
        <v>1E-05</v>
      </c>
      <c r="D33" s="21">
        <f t="shared" si="0"/>
        <v>0.002429727272727273</v>
      </c>
      <c r="E33" s="1"/>
      <c r="F33" s="4" t="s">
        <v>64</v>
      </c>
      <c r="G33" s="6"/>
      <c r="H33" s="20">
        <f>aDIFSTIME_K</f>
        <v>2.6454545454545458E-05</v>
      </c>
      <c r="I33" s="21">
        <f t="shared" si="1"/>
        <v>0.0030559999999999993</v>
      </c>
      <c r="J33" s="1"/>
      <c r="K33" s="270"/>
      <c r="L33" s="268"/>
      <c r="M33" s="271"/>
      <c r="N33" s="272"/>
    </row>
    <row r="34" spans="1:14" ht="12.75">
      <c r="A34" s="4" t="s">
        <v>85</v>
      </c>
      <c r="B34" s="6">
        <f>Preamble_K+PLCP_K</f>
        <v>104</v>
      </c>
      <c r="C34" s="20">
        <f>B34/bitspersec_K</f>
        <v>4.727272727272727E-06</v>
      </c>
      <c r="D34" s="21">
        <f t="shared" si="0"/>
        <v>0.0024344545454545456</v>
      </c>
      <c r="E34" s="1"/>
      <c r="F34" s="4" t="s">
        <v>85</v>
      </c>
      <c r="G34" s="6">
        <f>Preamble_K+PLCP_K</f>
        <v>104</v>
      </c>
      <c r="H34" s="20">
        <f>G34/bitspersec_K</f>
        <v>4.727272727272727E-06</v>
      </c>
      <c r="I34" s="21">
        <f t="shared" si="1"/>
        <v>0.003060727272727272</v>
      </c>
      <c r="J34" s="1"/>
      <c r="K34" s="270"/>
      <c r="L34" s="268"/>
      <c r="M34" s="271"/>
      <c r="N34" s="272"/>
    </row>
    <row r="35" spans="1:14" ht="12.75">
      <c r="A35" s="4" t="s">
        <v>67</v>
      </c>
      <c r="B35" s="6">
        <v>128</v>
      </c>
      <c r="C35" s="20">
        <f>B35/bitspersec_K</f>
        <v>5.8181818181818185E-06</v>
      </c>
      <c r="D35" s="21">
        <f>D34+C35+((Payload_K*8)/bitspersec_K)</f>
        <v>0.002990818181818182</v>
      </c>
      <c r="E35" s="1"/>
      <c r="F35" s="4" t="s">
        <v>99</v>
      </c>
      <c r="G35" s="6">
        <f>MacPayLdHdr_K</f>
        <v>104</v>
      </c>
      <c r="H35" s="20">
        <f>G35/bitspersec_K</f>
        <v>4.727272727272727E-06</v>
      </c>
      <c r="I35" s="21">
        <f>I34+H35+((Payload_K*8)/bitspersec_K)</f>
        <v>0.003615999999999999</v>
      </c>
      <c r="J35" s="1"/>
      <c r="K35" s="270"/>
      <c r="L35" s="268"/>
      <c r="M35" s="271"/>
      <c r="N35" s="272"/>
    </row>
    <row r="36" spans="1:14" ht="12.75">
      <c r="A36" s="4" t="s">
        <v>56</v>
      </c>
      <c r="B36" s="6"/>
      <c r="C36" s="20">
        <f>aSIFSTIME_K</f>
        <v>1E-05</v>
      </c>
      <c r="D36" s="21">
        <f t="shared" si="0"/>
        <v>0.003000818181818182</v>
      </c>
      <c r="E36" s="1"/>
      <c r="F36" s="4" t="s">
        <v>56</v>
      </c>
      <c r="G36" s="6"/>
      <c r="H36" s="20">
        <f>aSIFSTIME_K</f>
        <v>1E-05</v>
      </c>
      <c r="I36" s="21">
        <f t="shared" si="1"/>
        <v>0.003625999999999999</v>
      </c>
      <c r="J36" s="1"/>
      <c r="K36" s="270"/>
      <c r="L36" s="268"/>
      <c r="M36" s="271"/>
      <c r="N36" s="272"/>
    </row>
    <row r="37" spans="1:14" ht="12.75">
      <c r="A37" s="4" t="s">
        <v>85</v>
      </c>
      <c r="B37" s="6">
        <f>Preamble_K+PLCP_K</f>
        <v>104</v>
      </c>
      <c r="C37" s="20">
        <f>B37/bitspersec_K</f>
        <v>4.727272727272727E-06</v>
      </c>
      <c r="D37" s="21">
        <f t="shared" si="0"/>
        <v>0.0030055454545454548</v>
      </c>
      <c r="E37" s="1"/>
      <c r="F37" s="4" t="s">
        <v>85</v>
      </c>
      <c r="G37" s="6">
        <f>Preamble_K+PLCP_K</f>
        <v>104</v>
      </c>
      <c r="H37" s="20">
        <f>G37/bitspersec_K</f>
        <v>4.727272727272727E-06</v>
      </c>
      <c r="I37" s="21">
        <f t="shared" si="1"/>
        <v>0.0036307272727272716</v>
      </c>
      <c r="J37" s="1"/>
      <c r="K37" s="270"/>
      <c r="L37" s="268"/>
      <c r="M37" s="271"/>
      <c r="N37" s="272"/>
    </row>
    <row r="38" spans="1:14" ht="12.75">
      <c r="A38" s="4" t="s">
        <v>68</v>
      </c>
      <c r="B38" s="6">
        <f>8*14</f>
        <v>112</v>
      </c>
      <c r="C38" s="20">
        <f>B38/bitspersec_K</f>
        <v>5.090909090909091E-06</v>
      </c>
      <c r="D38" s="21">
        <f t="shared" si="0"/>
        <v>0.0030106363636363638</v>
      </c>
      <c r="E38" s="1"/>
      <c r="F38" s="4" t="s">
        <v>101</v>
      </c>
      <c r="G38" s="6">
        <f>AckOvrHd_K</f>
        <v>104</v>
      </c>
      <c r="H38" s="20">
        <f>G38/bitspersec_K</f>
        <v>4.727272727272727E-06</v>
      </c>
      <c r="I38" s="21">
        <f t="shared" si="1"/>
        <v>0.003635454545454544</v>
      </c>
      <c r="J38" s="1"/>
      <c r="K38" s="270"/>
      <c r="L38" s="268"/>
      <c r="M38" s="271"/>
      <c r="N38" s="272"/>
    </row>
    <row r="39" spans="1:14" ht="12.75">
      <c r="A39" s="4" t="s">
        <v>56</v>
      </c>
      <c r="B39" s="6"/>
      <c r="C39" s="20">
        <f>aSIFSTIME_K</f>
        <v>1E-05</v>
      </c>
      <c r="D39" s="21">
        <f t="shared" si="0"/>
        <v>0.003020636363636364</v>
      </c>
      <c r="E39" s="1"/>
      <c r="F39" s="4" t="s">
        <v>64</v>
      </c>
      <c r="G39" s="6"/>
      <c r="H39" s="20">
        <f>aDIFSTIME_K</f>
        <v>2.6454545454545458E-05</v>
      </c>
      <c r="I39" s="21">
        <f t="shared" si="1"/>
        <v>0.00366190909090909</v>
      </c>
      <c r="J39" s="1"/>
      <c r="K39" s="270"/>
      <c r="L39" s="268"/>
      <c r="M39" s="271"/>
      <c r="N39" s="272"/>
    </row>
    <row r="40" spans="1:14" ht="12.75">
      <c r="A40" s="4" t="s">
        <v>85</v>
      </c>
      <c r="B40" s="6">
        <f>Preamble_K+PLCP_K</f>
        <v>104</v>
      </c>
      <c r="C40" s="20">
        <f>B40/bitspersec_K</f>
        <v>4.727272727272727E-06</v>
      </c>
      <c r="D40" s="21">
        <f t="shared" si="0"/>
        <v>0.0030253636363636364</v>
      </c>
      <c r="E40" s="1"/>
      <c r="F40" s="4" t="s">
        <v>85</v>
      </c>
      <c r="G40" s="6">
        <f>Preamble_K+PLCP_K</f>
        <v>104</v>
      </c>
      <c r="H40" s="20">
        <f>G40/bitspersec_K</f>
        <v>4.727272727272727E-06</v>
      </c>
      <c r="I40" s="21">
        <f t="shared" si="1"/>
        <v>0.0036666363636363624</v>
      </c>
      <c r="J40" s="1"/>
      <c r="K40" s="270"/>
      <c r="L40" s="268"/>
      <c r="M40" s="271"/>
      <c r="N40" s="272"/>
    </row>
    <row r="41" spans="1:14" ht="12.75">
      <c r="A41" s="4" t="s">
        <v>69</v>
      </c>
      <c r="B41" s="6">
        <v>128</v>
      </c>
      <c r="C41" s="20">
        <f>B41/bitspersec_K</f>
        <v>5.8181818181818185E-06</v>
      </c>
      <c r="D41" s="21">
        <f>D40+C41+((Payload_K*8)/bitspersec_K)</f>
        <v>0.003581727272727273</v>
      </c>
      <c r="E41" s="1"/>
      <c r="F41" s="4" t="s">
        <v>87</v>
      </c>
      <c r="G41" s="6">
        <f>MacPayLdHdr_K</f>
        <v>104</v>
      </c>
      <c r="H41" s="20">
        <f>G41/bitspersec_K</f>
        <v>4.727272727272727E-06</v>
      </c>
      <c r="I41" s="21">
        <f>I40+H41+((Payload_K*8)/bitspersec_K)</f>
        <v>0.0042219090909090895</v>
      </c>
      <c r="J41" s="1"/>
      <c r="K41" s="270"/>
      <c r="L41" s="268"/>
      <c r="M41" s="271"/>
      <c r="N41" s="272"/>
    </row>
    <row r="42" spans="1:14" ht="12.75">
      <c r="A42" s="4" t="s">
        <v>56</v>
      </c>
      <c r="B42" s="6"/>
      <c r="C42" s="20">
        <f>aSIFSTIME_K</f>
        <v>1E-05</v>
      </c>
      <c r="D42" s="21">
        <f t="shared" si="0"/>
        <v>0.003591727272727273</v>
      </c>
      <c r="E42" s="1"/>
      <c r="F42" s="4" t="s">
        <v>56</v>
      </c>
      <c r="G42" s="6"/>
      <c r="H42" s="20">
        <f>aSIFSTIME_K</f>
        <v>1E-05</v>
      </c>
      <c r="I42" s="21">
        <f t="shared" si="1"/>
        <v>0.004231909090909089</v>
      </c>
      <c r="J42" s="1"/>
      <c r="K42" s="270"/>
      <c r="L42" s="268"/>
      <c r="M42" s="271"/>
      <c r="N42" s="272"/>
    </row>
    <row r="43" spans="1:14" ht="12.75">
      <c r="A43" s="4" t="s">
        <v>85</v>
      </c>
      <c r="B43" s="6">
        <f>Preamble_K+PLCP_K</f>
        <v>104</v>
      </c>
      <c r="C43" s="20">
        <f>B43/bitspersec_K</f>
        <v>4.727272727272727E-06</v>
      </c>
      <c r="D43" s="21">
        <f t="shared" si="0"/>
        <v>0.0035964545454545455</v>
      </c>
      <c r="E43" s="1"/>
      <c r="F43" s="4" t="s">
        <v>85</v>
      </c>
      <c r="G43" s="6">
        <f>Preamble_K+PLCP_K</f>
        <v>104</v>
      </c>
      <c r="H43" s="20">
        <f>G43/bitspersec_K</f>
        <v>4.727272727272727E-06</v>
      </c>
      <c r="I43" s="21">
        <f t="shared" si="1"/>
        <v>0.004236636363636362</v>
      </c>
      <c r="J43" s="1"/>
      <c r="K43" s="270"/>
      <c r="L43" s="268"/>
      <c r="M43" s="271"/>
      <c r="N43" s="272"/>
    </row>
    <row r="44" spans="1:14" ht="12.75">
      <c r="A44" s="4" t="s">
        <v>70</v>
      </c>
      <c r="B44" s="6">
        <f>8*14</f>
        <v>112</v>
      </c>
      <c r="C44" s="20">
        <f>B44/bitspersec_K</f>
        <v>5.090909090909091E-06</v>
      </c>
      <c r="D44" s="21">
        <f t="shared" si="0"/>
        <v>0.0036015454545454545</v>
      </c>
      <c r="E44" s="1"/>
      <c r="F44" s="4" t="s">
        <v>59</v>
      </c>
      <c r="G44" s="6">
        <f>AckOvrHd_K</f>
        <v>104</v>
      </c>
      <c r="H44" s="20">
        <f>G44/bitspersec_K</f>
        <v>4.727272727272727E-06</v>
      </c>
      <c r="I44" s="21">
        <f t="shared" si="1"/>
        <v>0.004241363636363634</v>
      </c>
      <c r="J44" s="1"/>
      <c r="K44" s="270"/>
      <c r="L44" s="268"/>
      <c r="M44" s="271"/>
      <c r="N44" s="272"/>
    </row>
    <row r="45" spans="1:14" ht="12.75">
      <c r="A45" s="4" t="s">
        <v>56</v>
      </c>
      <c r="B45" s="6"/>
      <c r="C45" s="20">
        <f>aSIFSTIME_K</f>
        <v>1E-05</v>
      </c>
      <c r="D45" s="21">
        <f t="shared" si="0"/>
        <v>0.0036115454545454545</v>
      </c>
      <c r="E45" s="1"/>
      <c r="F45" s="4" t="s">
        <v>64</v>
      </c>
      <c r="G45" s="6"/>
      <c r="H45" s="20">
        <f>aDIFSTIME_K</f>
        <v>2.6454545454545458E-05</v>
      </c>
      <c r="I45" s="21">
        <f t="shared" si="1"/>
        <v>0.00426781818181818</v>
      </c>
      <c r="J45" s="1"/>
      <c r="K45" s="270"/>
      <c r="L45" s="268"/>
      <c r="M45" s="271"/>
      <c r="N45" s="272"/>
    </row>
    <row r="46" spans="1:14" ht="12.75">
      <c r="A46" s="4" t="s">
        <v>85</v>
      </c>
      <c r="B46" s="6">
        <f>Preamble_K+PLCP_K</f>
        <v>104</v>
      </c>
      <c r="C46" s="20">
        <f>B46/bitspersec_K</f>
        <v>4.727272727272727E-06</v>
      </c>
      <c r="D46" s="21">
        <f t="shared" si="0"/>
        <v>0.003616272727272727</v>
      </c>
      <c r="E46" s="1"/>
      <c r="F46" s="4" t="s">
        <v>85</v>
      </c>
      <c r="G46" s="6">
        <f>Preamble_K+PLCP_K</f>
        <v>104</v>
      </c>
      <c r="H46" s="20">
        <f>G46/bitspersec_K</f>
        <v>4.727272727272727E-06</v>
      </c>
      <c r="I46" s="21">
        <f t="shared" si="1"/>
        <v>0.0042725454545454525</v>
      </c>
      <c r="J46" s="1"/>
      <c r="K46" s="270"/>
      <c r="L46" s="268"/>
      <c r="M46" s="271"/>
      <c r="N46" s="272"/>
    </row>
    <row r="47" spans="1:14" ht="12.75">
      <c r="A47" s="4" t="s">
        <v>71</v>
      </c>
      <c r="B47" s="6">
        <v>128</v>
      </c>
      <c r="C47" s="20">
        <f>B47/bitspersec_K</f>
        <v>5.8181818181818185E-06</v>
      </c>
      <c r="D47" s="21">
        <f>D46+C47+((Payload_K*8)/bitspersec_K)</f>
        <v>0.004172636363636364</v>
      </c>
      <c r="E47" s="1"/>
      <c r="F47" s="4" t="s">
        <v>88</v>
      </c>
      <c r="G47" s="6">
        <f>MacPayLdHdr_K</f>
        <v>104</v>
      </c>
      <c r="H47" s="20">
        <f>G47/bitspersec_K</f>
        <v>4.727272727272727E-06</v>
      </c>
      <c r="I47" s="21">
        <f>I46+H47+((Payload_K*8)/bitspersec_K)</f>
        <v>0.00482781818181818</v>
      </c>
      <c r="J47" s="1"/>
      <c r="K47" s="270"/>
      <c r="L47" s="268"/>
      <c r="M47" s="271"/>
      <c r="N47" s="272"/>
    </row>
    <row r="48" spans="1:14" ht="12.75">
      <c r="A48" s="4" t="s">
        <v>56</v>
      </c>
      <c r="B48" s="6"/>
      <c r="C48" s="20">
        <f>aSIFSTIME_K</f>
        <v>1E-05</v>
      </c>
      <c r="D48" s="21">
        <f t="shared" si="0"/>
        <v>0.004182636363636363</v>
      </c>
      <c r="E48" s="1"/>
      <c r="F48" s="4" t="s">
        <v>56</v>
      </c>
      <c r="G48" s="6"/>
      <c r="H48" s="20">
        <f>aSIFSTIME_K</f>
        <v>1E-05</v>
      </c>
      <c r="I48" s="21">
        <f t="shared" si="1"/>
        <v>0.004837818181818179</v>
      </c>
      <c r="J48" s="1"/>
      <c r="K48" s="270"/>
      <c r="L48" s="268"/>
      <c r="M48" s="271"/>
      <c r="N48" s="272"/>
    </row>
    <row r="49" spans="1:14" ht="12.75">
      <c r="A49" s="4" t="s">
        <v>85</v>
      </c>
      <c r="B49" s="6">
        <f>Preamble_K+PLCP_K</f>
        <v>104</v>
      </c>
      <c r="C49" s="20">
        <f>B49/bitspersec_K</f>
        <v>4.727272727272727E-06</v>
      </c>
      <c r="D49" s="21">
        <f t="shared" si="0"/>
        <v>0.004187363636363636</v>
      </c>
      <c r="E49" s="1"/>
      <c r="F49" s="4" t="s">
        <v>85</v>
      </c>
      <c r="G49" s="6">
        <f>Preamble_K+PLCP_K</f>
        <v>104</v>
      </c>
      <c r="H49" s="20">
        <f>G49/bitspersec_K</f>
        <v>4.727272727272727E-06</v>
      </c>
      <c r="I49" s="21">
        <f t="shared" si="1"/>
        <v>0.004842545454545452</v>
      </c>
      <c r="J49" s="1"/>
      <c r="K49" s="270"/>
      <c r="L49" s="268"/>
      <c r="M49" s="271"/>
      <c r="N49" s="272"/>
    </row>
    <row r="50" spans="1:14" ht="12.75">
      <c r="A50" s="4" t="s">
        <v>72</v>
      </c>
      <c r="B50" s="6">
        <f>8*14</f>
        <v>112</v>
      </c>
      <c r="C50" s="20">
        <f>B50/bitspersec_K</f>
        <v>5.090909090909091E-06</v>
      </c>
      <c r="D50" s="21">
        <f t="shared" si="0"/>
        <v>0.004192454545454545</v>
      </c>
      <c r="E50" s="1"/>
      <c r="F50" s="4" t="s">
        <v>61</v>
      </c>
      <c r="G50" s="6">
        <f>AckOvrHd_K</f>
        <v>104</v>
      </c>
      <c r="H50" s="20">
        <f>G50/bitspersec_K</f>
        <v>4.727272727272727E-06</v>
      </c>
      <c r="I50" s="21">
        <f t="shared" si="1"/>
        <v>0.004847272727272724</v>
      </c>
      <c r="J50" s="1"/>
      <c r="K50" s="270"/>
      <c r="L50" s="268"/>
      <c r="M50" s="271"/>
      <c r="N50" s="272"/>
    </row>
    <row r="51" spans="1:14" ht="12.75">
      <c r="A51" s="4" t="s">
        <v>56</v>
      </c>
      <c r="B51" s="6"/>
      <c r="C51" s="20">
        <f>aSIFSTIME_K</f>
        <v>1E-05</v>
      </c>
      <c r="D51" s="21">
        <f t="shared" si="0"/>
        <v>0.004202454545454545</v>
      </c>
      <c r="E51" s="1"/>
      <c r="F51" s="4" t="s">
        <v>64</v>
      </c>
      <c r="G51" s="6"/>
      <c r="H51" s="20">
        <f>aDIFSTIME_K</f>
        <v>2.6454545454545458E-05</v>
      </c>
      <c r="I51" s="21">
        <f t="shared" si="1"/>
        <v>0.00487372727272727</v>
      </c>
      <c r="J51" s="1"/>
      <c r="K51" s="270"/>
      <c r="L51" s="268"/>
      <c r="M51" s="271"/>
      <c r="N51" s="272"/>
    </row>
    <row r="52" spans="1:14" ht="12.75">
      <c r="A52" s="4" t="s">
        <v>85</v>
      </c>
      <c r="B52" s="6">
        <f>Preamble_K+PLCP_K</f>
        <v>104</v>
      </c>
      <c r="C52" s="20">
        <f>B52/bitspersec_K</f>
        <v>4.727272727272727E-06</v>
      </c>
      <c r="D52" s="21">
        <f t="shared" si="0"/>
        <v>0.004207181818181817</v>
      </c>
      <c r="E52" s="1"/>
      <c r="F52" s="4" t="s">
        <v>85</v>
      </c>
      <c r="G52" s="6">
        <f>Preamble_K+PLCP_K</f>
        <v>104</v>
      </c>
      <c r="H52" s="20">
        <f>G52/bitspersec_K</f>
        <v>4.727272727272727E-06</v>
      </c>
      <c r="I52" s="21">
        <f t="shared" si="1"/>
        <v>0.004878454545454543</v>
      </c>
      <c r="J52" s="1"/>
      <c r="K52" s="270"/>
      <c r="L52" s="268"/>
      <c r="M52" s="271"/>
      <c r="N52" s="272"/>
    </row>
    <row r="53" spans="1:14" ht="12.75">
      <c r="A53" s="4" t="s">
        <v>73</v>
      </c>
      <c r="B53" s="6">
        <v>128</v>
      </c>
      <c r="C53" s="20">
        <f>B53/bitspersec_K</f>
        <v>5.8181818181818185E-06</v>
      </c>
      <c r="D53" s="21">
        <f>D52+C53+((Payload_K*8)/bitspersec_K)</f>
        <v>0.0047635454545454535</v>
      </c>
      <c r="E53" s="1"/>
      <c r="F53" s="4" t="s">
        <v>99</v>
      </c>
      <c r="G53" s="6">
        <f>MacPayLdHdr_K</f>
        <v>104</v>
      </c>
      <c r="H53" s="20">
        <f>G53/bitspersec_K</f>
        <v>4.727272727272727E-06</v>
      </c>
      <c r="I53" s="21">
        <f>I52+H53+((Payload_K*8)/bitspersec_K)</f>
        <v>0.00543372727272727</v>
      </c>
      <c r="J53" s="1"/>
      <c r="K53" s="270"/>
      <c r="L53" s="268"/>
      <c r="M53" s="271"/>
      <c r="N53" s="272"/>
    </row>
    <row r="54" spans="1:14" ht="12.75">
      <c r="A54" s="4" t="s">
        <v>56</v>
      </c>
      <c r="B54" s="6"/>
      <c r="C54" s="20">
        <f>aSIFSTIME_K</f>
        <v>1E-05</v>
      </c>
      <c r="D54" s="21">
        <f t="shared" si="0"/>
        <v>0.004773545454545453</v>
      </c>
      <c r="E54" s="1"/>
      <c r="F54" s="4" t="s">
        <v>56</v>
      </c>
      <c r="G54" s="6"/>
      <c r="H54" s="20">
        <f>aSIFSTIME_K</f>
        <v>1E-05</v>
      </c>
      <c r="I54" s="21">
        <f t="shared" si="1"/>
        <v>0.005443727272727269</v>
      </c>
      <c r="J54" s="1"/>
      <c r="K54" s="270"/>
      <c r="L54" s="268"/>
      <c r="M54" s="271"/>
      <c r="N54" s="272"/>
    </row>
    <row r="55" spans="1:14" ht="12.75">
      <c r="A55" s="4" t="s">
        <v>85</v>
      </c>
      <c r="B55" s="6">
        <f>Preamble_K+PLCP_K</f>
        <v>104</v>
      </c>
      <c r="C55" s="20">
        <f>B55/bitspersec_K</f>
        <v>4.727272727272727E-06</v>
      </c>
      <c r="D55" s="21">
        <f t="shared" si="0"/>
        <v>0.004778272727272726</v>
      </c>
      <c r="E55" s="1"/>
      <c r="F55" s="4" t="s">
        <v>85</v>
      </c>
      <c r="G55" s="6">
        <f>Preamble_K+PLCP_K</f>
        <v>104</v>
      </c>
      <c r="H55" s="20">
        <f>G55/bitspersec_K</f>
        <v>4.727272727272727E-06</v>
      </c>
      <c r="I55" s="21">
        <f t="shared" si="1"/>
        <v>0.005448454545454542</v>
      </c>
      <c r="J55" s="1"/>
      <c r="K55" s="270"/>
      <c r="L55" s="268"/>
      <c r="M55" s="271"/>
      <c r="N55" s="272"/>
    </row>
    <row r="56" spans="1:14" ht="12.75">
      <c r="A56" s="4" t="s">
        <v>74</v>
      </c>
      <c r="B56" s="6">
        <f>8*14</f>
        <v>112</v>
      </c>
      <c r="C56" s="20">
        <f>B56/bitspersec_K</f>
        <v>5.090909090909091E-06</v>
      </c>
      <c r="D56" s="21">
        <f t="shared" si="0"/>
        <v>0.004783363636363635</v>
      </c>
      <c r="E56" s="1"/>
      <c r="F56" s="4" t="s">
        <v>101</v>
      </c>
      <c r="G56" s="6">
        <f>AckOvrHd_K</f>
        <v>104</v>
      </c>
      <c r="H56" s="20">
        <f>G56/bitspersec_K</f>
        <v>4.727272727272727E-06</v>
      </c>
      <c r="I56" s="21">
        <f t="shared" si="1"/>
        <v>0.0054531818181818145</v>
      </c>
      <c r="J56" s="1"/>
      <c r="K56" s="270"/>
      <c r="L56" s="268"/>
      <c r="M56" s="271"/>
      <c r="N56" s="272"/>
    </row>
    <row r="57" spans="1:14" ht="12.75">
      <c r="A57" s="4" t="s">
        <v>56</v>
      </c>
      <c r="B57" s="6"/>
      <c r="C57" s="20">
        <f>aSIFSTIME_K</f>
        <v>1E-05</v>
      </c>
      <c r="D57" s="21">
        <f t="shared" si="0"/>
        <v>0.004793363636363635</v>
      </c>
      <c r="E57" s="1"/>
      <c r="F57" s="4" t="s">
        <v>64</v>
      </c>
      <c r="G57" s="7"/>
      <c r="H57" s="20">
        <f>aDIFSTIME_K</f>
        <v>2.6454545454545458E-05</v>
      </c>
      <c r="I57" s="21">
        <f t="shared" si="1"/>
        <v>0.00547963636363636</v>
      </c>
      <c r="J57" s="1"/>
      <c r="K57" s="270"/>
      <c r="L57" s="268"/>
      <c r="M57" s="271"/>
      <c r="N57" s="272"/>
    </row>
    <row r="58" spans="1:14" ht="12.75">
      <c r="A58" s="4" t="s">
        <v>85</v>
      </c>
      <c r="B58" s="6">
        <f>Preamble_K+PLCP_K</f>
        <v>104</v>
      </c>
      <c r="C58" s="20">
        <f>B58/bitspersec_K</f>
        <v>4.727272727272727E-06</v>
      </c>
      <c r="D58" s="21">
        <f t="shared" si="0"/>
        <v>0.004798090909090907</v>
      </c>
      <c r="E58" s="1"/>
      <c r="F58" s="4" t="s">
        <v>85</v>
      </c>
      <c r="G58" s="6">
        <f>Preamble_K+PLCP_K</f>
        <v>104</v>
      </c>
      <c r="H58" s="20">
        <f>G58/bitspersec_K</f>
        <v>4.727272727272727E-06</v>
      </c>
      <c r="I58" s="21">
        <f t="shared" si="1"/>
        <v>0.005484363636363633</v>
      </c>
      <c r="J58" s="1"/>
      <c r="K58" s="270"/>
      <c r="L58" s="268"/>
      <c r="M58" s="271"/>
      <c r="N58" s="272"/>
    </row>
    <row r="59" spans="1:14" ht="12.75">
      <c r="A59" s="4" t="s">
        <v>75</v>
      </c>
      <c r="B59" s="6">
        <v>128</v>
      </c>
      <c r="C59" s="20">
        <f>B59/bitspersec_K</f>
        <v>5.8181818181818185E-06</v>
      </c>
      <c r="D59" s="21">
        <f>D58+C59+((Payload_K*8)/bitspersec_K)</f>
        <v>0.005354454545454543</v>
      </c>
      <c r="E59" s="1"/>
      <c r="F59" s="4" t="s">
        <v>87</v>
      </c>
      <c r="G59" s="6">
        <f>MacPayLdHdr_K</f>
        <v>104</v>
      </c>
      <c r="H59" s="20">
        <f>G59/bitspersec_K</f>
        <v>4.727272727272727E-06</v>
      </c>
      <c r="I59" s="21">
        <f>I58+H59+((Payload_K*8)/bitspersec_K)</f>
        <v>0.00603963636363636</v>
      </c>
      <c r="J59" s="1"/>
      <c r="K59" s="270"/>
      <c r="L59" s="268"/>
      <c r="M59" s="271"/>
      <c r="N59" s="272"/>
    </row>
    <row r="60" spans="1:14" ht="12.75">
      <c r="A60" s="4" t="s">
        <v>56</v>
      </c>
      <c r="B60" s="6"/>
      <c r="C60" s="20">
        <f>aSIFSTIME_K</f>
        <v>1E-05</v>
      </c>
      <c r="D60" s="21">
        <f t="shared" si="0"/>
        <v>0.005364454545454543</v>
      </c>
      <c r="E60" s="1"/>
      <c r="F60" s="4" t="s">
        <v>56</v>
      </c>
      <c r="G60" s="6"/>
      <c r="H60" s="20">
        <f>aSIFSTIME_K</f>
        <v>1E-05</v>
      </c>
      <c r="I60" s="21">
        <f t="shared" si="1"/>
        <v>0.0060496363636363595</v>
      </c>
      <c r="J60" s="1"/>
      <c r="K60" s="270"/>
      <c r="L60" s="268"/>
      <c r="M60" s="271"/>
      <c r="N60" s="272"/>
    </row>
    <row r="61" spans="1:14" ht="12.75">
      <c r="A61" s="4" t="s">
        <v>85</v>
      </c>
      <c r="B61" s="6">
        <f>Preamble_K+PLCP_K</f>
        <v>104</v>
      </c>
      <c r="C61" s="20">
        <f>B61/bitspersec_K</f>
        <v>4.727272727272727E-06</v>
      </c>
      <c r="D61" s="21">
        <f t="shared" si="0"/>
        <v>0.0053691818181818155</v>
      </c>
      <c r="E61" s="1"/>
      <c r="F61" s="4" t="s">
        <v>85</v>
      </c>
      <c r="G61" s="6">
        <f>Preamble_K+PLCP_K</f>
        <v>104</v>
      </c>
      <c r="H61" s="20">
        <f>G61/bitspersec_K</f>
        <v>4.727272727272727E-06</v>
      </c>
      <c r="I61" s="21">
        <f t="shared" si="1"/>
        <v>0.006054363636363632</v>
      </c>
      <c r="J61" s="1"/>
      <c r="K61" s="270"/>
      <c r="L61" s="268"/>
      <c r="M61" s="271"/>
      <c r="N61" s="272"/>
    </row>
    <row r="62" spans="1:14" ht="12.75">
      <c r="A62" s="4" t="s">
        <v>76</v>
      </c>
      <c r="B62" s="6">
        <f>8*14</f>
        <v>112</v>
      </c>
      <c r="C62" s="20">
        <f>B62/bitspersec_K</f>
        <v>5.090909090909091E-06</v>
      </c>
      <c r="D62" s="21">
        <f>D61+C62+((Payload_K*8)/bitspersec_K)</f>
        <v>0.0059248181818181795</v>
      </c>
      <c r="F62" s="4" t="s">
        <v>102</v>
      </c>
      <c r="G62" s="6">
        <f>AckOvrHd_K</f>
        <v>104</v>
      </c>
      <c r="H62" s="20">
        <f>G62/bitspersec_K</f>
        <v>4.727272727272727E-06</v>
      </c>
      <c r="I62" s="21">
        <f t="shared" si="1"/>
        <v>0.006059090909090905</v>
      </c>
      <c r="K62" s="270"/>
      <c r="L62" s="268"/>
      <c r="M62" s="271"/>
      <c r="N62" s="272"/>
    </row>
    <row r="63" spans="1:14" ht="12.75">
      <c r="A63" s="4" t="s">
        <v>56</v>
      </c>
      <c r="B63" s="7"/>
      <c r="C63" s="20">
        <f>aSIFSTIME_K</f>
        <v>1E-05</v>
      </c>
      <c r="D63" s="21">
        <f t="shared" si="0"/>
        <v>0.005934818181818179</v>
      </c>
      <c r="F63" s="4" t="s">
        <v>64</v>
      </c>
      <c r="G63" s="7"/>
      <c r="H63" s="20">
        <f>aDIFSTIME_K</f>
        <v>2.6454545454545458E-05</v>
      </c>
      <c r="I63" s="21">
        <f t="shared" si="1"/>
        <v>0.00608554545454545</v>
      </c>
      <c r="K63" s="270"/>
      <c r="L63" s="268"/>
      <c r="M63" s="271"/>
      <c r="N63" s="272"/>
    </row>
    <row r="64" spans="1:14" ht="12.75">
      <c r="A64" s="4" t="s">
        <v>85</v>
      </c>
      <c r="B64" s="6">
        <f>Preamble_K+PLCP_K</f>
        <v>104</v>
      </c>
      <c r="C64" s="20">
        <f>B64/bitspersec_K</f>
        <v>4.727272727272727E-06</v>
      </c>
      <c r="D64" s="21">
        <f t="shared" si="0"/>
        <v>0.005939545454545452</v>
      </c>
      <c r="F64" s="4" t="s">
        <v>85</v>
      </c>
      <c r="G64" s="6">
        <f>Preamble_K+PLCP_K</f>
        <v>104</v>
      </c>
      <c r="H64" s="20">
        <f>G64/bitspersec_K</f>
        <v>4.727272727272727E-06</v>
      </c>
      <c r="I64" s="21">
        <f t="shared" si="1"/>
        <v>0.006090272727272723</v>
      </c>
      <c r="K64" s="270"/>
      <c r="L64" s="268"/>
      <c r="M64" s="271"/>
      <c r="N64" s="272"/>
    </row>
    <row r="65" spans="1:14" ht="12.75">
      <c r="A65" s="4" t="s">
        <v>77</v>
      </c>
      <c r="B65" s="6">
        <v>128</v>
      </c>
      <c r="C65" s="20">
        <f>B65/bitspersec_K</f>
        <v>5.8181818181818185E-06</v>
      </c>
      <c r="D65" s="21">
        <f>D64+C65+((Payload_K*8)/bitspersec_K)</f>
        <v>0.006495909090909088</v>
      </c>
      <c r="F65" s="4" t="s">
        <v>88</v>
      </c>
      <c r="G65" s="6">
        <f>MacPayLdHdr_K</f>
        <v>104</v>
      </c>
      <c r="H65" s="20">
        <f>G65/bitspersec_K</f>
        <v>4.727272727272727E-06</v>
      </c>
      <c r="I65" s="21">
        <f>I64+H65+((Payload_K*8)/bitspersec_K)</f>
        <v>0.00664554545454545</v>
      </c>
      <c r="K65" s="270"/>
      <c r="L65" s="268"/>
      <c r="M65" s="271"/>
      <c r="N65" s="272"/>
    </row>
    <row r="66" spans="1:14" ht="12.75">
      <c r="A66" s="4" t="s">
        <v>56</v>
      </c>
      <c r="B66" s="7"/>
      <c r="C66" s="20">
        <f>aSIFSTIME_K</f>
        <v>1E-05</v>
      </c>
      <c r="D66" s="21">
        <f t="shared" si="0"/>
        <v>0.006505909090909087</v>
      </c>
      <c r="F66" s="4" t="s">
        <v>56</v>
      </c>
      <c r="G66" s="6"/>
      <c r="H66" s="20">
        <f>aSIFSTIME_K</f>
        <v>1E-05</v>
      </c>
      <c r="I66" s="21">
        <f t="shared" si="1"/>
        <v>0.00665554545454545</v>
      </c>
      <c r="K66" s="270"/>
      <c r="L66" s="268"/>
      <c r="M66" s="271"/>
      <c r="N66" s="272"/>
    </row>
    <row r="67" spans="1:14" ht="12.75">
      <c r="A67" s="4" t="s">
        <v>85</v>
      </c>
      <c r="B67" s="6">
        <f>Preamble_K+PLCP_K</f>
        <v>104</v>
      </c>
      <c r="C67" s="20">
        <f>B67/bitspersec_K</f>
        <v>4.727272727272727E-06</v>
      </c>
      <c r="D67" s="21">
        <f t="shared" si="0"/>
        <v>0.00651063636363636</v>
      </c>
      <c r="F67" s="4" t="s">
        <v>85</v>
      </c>
      <c r="G67" s="6">
        <f>Preamble_K+PLCP_K</f>
        <v>104</v>
      </c>
      <c r="H67" s="20">
        <f>G67/bitspersec_K</f>
        <v>4.727272727272727E-06</v>
      </c>
      <c r="I67" s="21">
        <f t="shared" si="1"/>
        <v>0.006660272727272722</v>
      </c>
      <c r="K67" s="270"/>
      <c r="L67" s="268"/>
      <c r="M67" s="271"/>
      <c r="N67" s="272"/>
    </row>
    <row r="68" spans="1:14" ht="12.75">
      <c r="A68" s="4" t="s">
        <v>78</v>
      </c>
      <c r="B68" s="6">
        <f>8*14</f>
        <v>112</v>
      </c>
      <c r="C68" s="20">
        <f>B68/bitspersec_K</f>
        <v>5.090909090909091E-06</v>
      </c>
      <c r="D68" s="21">
        <f>D67+C68</f>
        <v>0.006515727272727269</v>
      </c>
      <c r="E68" s="17"/>
      <c r="F68" s="4" t="s">
        <v>61</v>
      </c>
      <c r="G68" s="6">
        <f>128</f>
        <v>128</v>
      </c>
      <c r="H68" s="20">
        <f>G68/bitspersec_K</f>
        <v>5.8181818181818185E-06</v>
      </c>
      <c r="I68" s="21">
        <f aca="true" t="shared" si="2" ref="I68:I92">I67+H68</f>
        <v>0.006666090909090904</v>
      </c>
      <c r="K68" s="270"/>
      <c r="L68" s="268"/>
      <c r="M68" s="271"/>
      <c r="N68" s="272"/>
    </row>
    <row r="69" spans="1:14" ht="12.75">
      <c r="A69" s="10"/>
      <c r="B69" s="1"/>
      <c r="C69" s="17"/>
      <c r="D69" s="19"/>
      <c r="F69" s="4" t="s">
        <v>64</v>
      </c>
      <c r="G69" s="6"/>
      <c r="H69" s="20">
        <f>aDIFSTIME_K</f>
        <v>2.6454545454545458E-05</v>
      </c>
      <c r="I69" s="21">
        <f t="shared" si="2"/>
        <v>0.006692545454545449</v>
      </c>
      <c r="K69" s="270"/>
      <c r="L69" s="268"/>
      <c r="M69" s="271"/>
      <c r="N69" s="272"/>
    </row>
    <row r="70" spans="1:14" ht="12.75">
      <c r="A70" s="6" t="s">
        <v>97</v>
      </c>
      <c r="B70" s="6"/>
      <c r="C70" s="20">
        <f>SUM(C3:C68)</f>
        <v>0.0004597272727272729</v>
      </c>
      <c r="D70" s="20" t="s">
        <v>104</v>
      </c>
      <c r="F70" s="4" t="s">
        <v>85</v>
      </c>
      <c r="G70" s="6">
        <f>Preamble_K+PLCP_K</f>
        <v>104</v>
      </c>
      <c r="H70" s="20">
        <f>G70/bitspersec_K</f>
        <v>4.727272727272727E-06</v>
      </c>
      <c r="I70" s="21">
        <f t="shared" si="2"/>
        <v>0.006697272727272722</v>
      </c>
      <c r="K70" s="270"/>
      <c r="L70" s="268"/>
      <c r="M70" s="271"/>
      <c r="N70" s="272"/>
    </row>
    <row r="71" spans="1:14" ht="12.75">
      <c r="A71" s="6" t="s">
        <v>80</v>
      </c>
      <c r="B71" s="6">
        <f>SUM(B3:B68)</f>
        <v>4912</v>
      </c>
      <c r="C71" s="20"/>
      <c r="D71" s="20"/>
      <c r="F71" s="4" t="s">
        <v>99</v>
      </c>
      <c r="G71" s="6">
        <f>MacPayLdHdr_K</f>
        <v>104</v>
      </c>
      <c r="H71" s="20">
        <f>G71/bitspersec_K</f>
        <v>4.727272727272727E-06</v>
      </c>
      <c r="I71" s="21">
        <f>I70+H71+((Payload_K*8)/bitspersec_K)</f>
        <v>0.007252545454545449</v>
      </c>
      <c r="K71" s="270"/>
      <c r="L71" s="268"/>
      <c r="M71" s="271"/>
      <c r="N71" s="272"/>
    </row>
    <row r="72" spans="1:14" ht="12.75">
      <c r="A72" s="6" t="s">
        <v>81</v>
      </c>
      <c r="B72" s="6">
        <f>(COUNTIF(A3:A68,"Data_*")*(Payload_K*8))</f>
        <v>121120</v>
      </c>
      <c r="C72" s="20">
        <f>B72/bitspersec_K</f>
        <v>0.005505454545454545</v>
      </c>
      <c r="D72" s="20" t="s">
        <v>104</v>
      </c>
      <c r="F72" s="4" t="s">
        <v>56</v>
      </c>
      <c r="G72" s="6"/>
      <c r="H72" s="20">
        <f>aSIFSTIME_K</f>
        <v>1E-05</v>
      </c>
      <c r="I72" s="21">
        <f t="shared" si="2"/>
        <v>0.007262545454545449</v>
      </c>
      <c r="K72" s="270"/>
      <c r="L72" s="268"/>
      <c r="M72" s="271"/>
      <c r="N72" s="272"/>
    </row>
    <row r="73" spans="1:14" ht="12.75">
      <c r="A73" s="5" t="s">
        <v>103</v>
      </c>
      <c r="B73" s="22"/>
      <c r="C73" s="22">
        <f>C72/(C72+C70)</f>
        <v>0.9229315573708032</v>
      </c>
      <c r="D73" s="22"/>
      <c r="F73" s="4" t="s">
        <v>85</v>
      </c>
      <c r="G73" s="6">
        <f>Preamble_K+PLCP_K</f>
        <v>104</v>
      </c>
      <c r="H73" s="20">
        <f>G73/bitspersec_K</f>
        <v>4.727272727272727E-06</v>
      </c>
      <c r="I73" s="21">
        <f t="shared" si="2"/>
        <v>0.007267272727272721</v>
      </c>
      <c r="K73" s="270"/>
      <c r="L73" s="268"/>
      <c r="M73" s="271"/>
      <c r="N73" s="272"/>
    </row>
    <row r="74" spans="1:14" ht="12.75">
      <c r="A74" s="5"/>
      <c r="B74" s="22"/>
      <c r="C74" s="22"/>
      <c r="D74" s="22"/>
      <c r="F74" s="4" t="s">
        <v>101</v>
      </c>
      <c r="G74" s="6">
        <f>AckOvrHd_K</f>
        <v>104</v>
      </c>
      <c r="H74" s="20">
        <f>G74/bitspersec_K</f>
        <v>4.727272727272727E-06</v>
      </c>
      <c r="I74" s="21">
        <f t="shared" si="2"/>
        <v>0.007271999999999994</v>
      </c>
      <c r="K74" s="270"/>
      <c r="L74" s="268"/>
      <c r="M74" s="271"/>
      <c r="N74" s="272"/>
    </row>
    <row r="75" spans="1:14" ht="12.75">
      <c r="A75" s="6" t="s">
        <v>86</v>
      </c>
      <c r="B75" s="6"/>
      <c r="C75" s="21">
        <f>bitspersec_K*C73</f>
        <v>20304494.26215767</v>
      </c>
      <c r="D75" s="21" t="s">
        <v>105</v>
      </c>
      <c r="F75" s="4" t="s">
        <v>64</v>
      </c>
      <c r="G75" s="7"/>
      <c r="H75" s="20">
        <f>aDIFSTIME_K</f>
        <v>2.6454545454545458E-05</v>
      </c>
      <c r="I75" s="21">
        <f t="shared" si="2"/>
        <v>0.007298454545454539</v>
      </c>
      <c r="K75" s="270"/>
      <c r="L75" s="268"/>
      <c r="M75" s="271"/>
      <c r="N75" s="272"/>
    </row>
    <row r="76" spans="1:14" ht="12.75">
      <c r="A76" s="10"/>
      <c r="B76" s="1"/>
      <c r="C76" s="17"/>
      <c r="D76" s="19"/>
      <c r="F76" s="4" t="s">
        <v>85</v>
      </c>
      <c r="G76" s="6">
        <f>Preamble_K+PLCP_K</f>
        <v>104</v>
      </c>
      <c r="H76" s="20">
        <f>G76/bitspersec_K</f>
        <v>4.727272727272727E-06</v>
      </c>
      <c r="I76" s="21">
        <f t="shared" si="2"/>
        <v>0.007303181818181812</v>
      </c>
      <c r="K76" s="270"/>
      <c r="L76" s="268"/>
      <c r="M76" s="271"/>
      <c r="N76" s="272"/>
    </row>
    <row r="77" spans="1:14" ht="12.75">
      <c r="A77" s="50" t="s">
        <v>149</v>
      </c>
      <c r="B77" s="51"/>
      <c r="C77" s="52"/>
      <c r="D77" s="53"/>
      <c r="F77" s="4" t="s">
        <v>87</v>
      </c>
      <c r="G77" s="6">
        <f>MacPayLdHdr_K</f>
        <v>104</v>
      </c>
      <c r="H77" s="20">
        <f>G77/bitspersec_K</f>
        <v>4.727272727272727E-06</v>
      </c>
      <c r="I77" s="21">
        <f>I76+H77+((Payload_K*8)/bitspersec_K)</f>
        <v>0.007858454545454538</v>
      </c>
      <c r="K77" s="270"/>
      <c r="L77" s="268"/>
      <c r="M77" s="271"/>
      <c r="N77" s="272"/>
    </row>
    <row r="78" spans="1:14" ht="12.75">
      <c r="A78" s="62" t="s">
        <v>150</v>
      </c>
      <c r="B78" s="44"/>
      <c r="C78" s="63"/>
      <c r="D78" s="64"/>
      <c r="F78" s="4" t="s">
        <v>56</v>
      </c>
      <c r="G78" s="6"/>
      <c r="H78" s="20">
        <f>aSIFSTIME_K</f>
        <v>1E-05</v>
      </c>
      <c r="I78" s="21">
        <f t="shared" si="2"/>
        <v>0.007868454545454538</v>
      </c>
      <c r="K78" s="270"/>
      <c r="L78" s="268"/>
      <c r="M78" s="271"/>
      <c r="N78" s="272"/>
    </row>
    <row r="79" spans="1:14" ht="12.75">
      <c r="A79" s="65" t="s">
        <v>151</v>
      </c>
      <c r="B79" s="47"/>
      <c r="C79" s="66"/>
      <c r="D79" s="67"/>
      <c r="F79" s="4" t="s">
        <v>85</v>
      </c>
      <c r="G79" s="6">
        <f>Preamble_K+PLCP_K</f>
        <v>104</v>
      </c>
      <c r="H79" s="20">
        <f>G79/bitspersec_K</f>
        <v>4.727272727272727E-06</v>
      </c>
      <c r="I79" s="21">
        <f t="shared" si="2"/>
        <v>0.00787318181818181</v>
      </c>
      <c r="K79" s="270"/>
      <c r="L79" s="268"/>
      <c r="M79" s="271"/>
      <c r="N79" s="272"/>
    </row>
    <row r="80" spans="1:14" ht="12.75">
      <c r="A80" s="10"/>
      <c r="B80" s="1"/>
      <c r="C80" s="17"/>
      <c r="D80" s="19"/>
      <c r="F80" s="4" t="s">
        <v>102</v>
      </c>
      <c r="G80" s="6">
        <f>AckOvrHd_K</f>
        <v>104</v>
      </c>
      <c r="H80" s="20">
        <f>G80/bitspersec_K</f>
        <v>4.727272727272727E-06</v>
      </c>
      <c r="I80" s="21">
        <f t="shared" si="2"/>
        <v>0.007877909090909083</v>
      </c>
      <c r="K80" s="270"/>
      <c r="L80" s="268"/>
      <c r="M80" s="271"/>
      <c r="N80" s="272"/>
    </row>
    <row r="81" spans="1:14" ht="12.75">
      <c r="A81" s="10"/>
      <c r="B81" s="1"/>
      <c r="C81" s="17"/>
      <c r="D81" s="19"/>
      <c r="F81" s="4" t="s">
        <v>64</v>
      </c>
      <c r="G81" s="7"/>
      <c r="H81" s="20">
        <f>aDIFSTIME_K</f>
        <v>2.6454545454545458E-05</v>
      </c>
      <c r="I81" s="21">
        <f t="shared" si="2"/>
        <v>0.007904363636363628</v>
      </c>
      <c r="K81" s="270"/>
      <c r="L81" s="268"/>
      <c r="M81" s="271"/>
      <c r="N81" s="272"/>
    </row>
    <row r="82" spans="1:14" ht="12.75">
      <c r="A82" s="10"/>
      <c r="B82" s="1"/>
      <c r="C82" s="17"/>
      <c r="D82" s="19"/>
      <c r="F82" s="4" t="s">
        <v>85</v>
      </c>
      <c r="G82" s="6">
        <f>Preamble_K+PLCP_K</f>
        <v>104</v>
      </c>
      <c r="H82" s="20">
        <f>G82/bitspersec_K</f>
        <v>4.727272727272727E-06</v>
      </c>
      <c r="I82" s="21">
        <f t="shared" si="2"/>
        <v>0.0079090909090909</v>
      </c>
      <c r="K82" s="270"/>
      <c r="L82" s="268"/>
      <c r="M82" s="271"/>
      <c r="N82" s="272"/>
    </row>
    <row r="83" spans="1:14" ht="12.75">
      <c r="A83" s="10"/>
      <c r="B83" s="1"/>
      <c r="C83" s="17"/>
      <c r="D83" s="19"/>
      <c r="F83" s="4" t="s">
        <v>88</v>
      </c>
      <c r="G83" s="6">
        <f>MacPayLdHdr_K</f>
        <v>104</v>
      </c>
      <c r="H83" s="20">
        <f>G83/bitspersec_K</f>
        <v>4.727272727272727E-06</v>
      </c>
      <c r="I83" s="21">
        <f>I82+H83+((Payload_K*8)/bitspersec_K)</f>
        <v>0.008464363636363628</v>
      </c>
      <c r="K83" s="270"/>
      <c r="L83" s="268"/>
      <c r="M83" s="271"/>
      <c r="N83" s="272"/>
    </row>
    <row r="84" spans="1:14" ht="12.75">
      <c r="A84" s="10"/>
      <c r="B84" s="1"/>
      <c r="C84" s="17"/>
      <c r="D84" s="19"/>
      <c r="F84" s="4" t="s">
        <v>56</v>
      </c>
      <c r="G84" s="6"/>
      <c r="H84" s="20">
        <f>aSIFSTIME_K</f>
        <v>1E-05</v>
      </c>
      <c r="I84" s="21">
        <f t="shared" si="2"/>
        <v>0.008474363636363627</v>
      </c>
      <c r="K84" s="270"/>
      <c r="L84" s="268"/>
      <c r="M84" s="271"/>
      <c r="N84" s="272"/>
    </row>
    <row r="85" spans="1:14" ht="12.75">
      <c r="A85" s="37" t="s">
        <v>112</v>
      </c>
      <c r="B85" s="38"/>
      <c r="C85" s="39"/>
      <c r="D85" s="19"/>
      <c r="F85" s="4" t="s">
        <v>85</v>
      </c>
      <c r="G85" s="6">
        <f>Preamble_K+PLCP_K</f>
        <v>104</v>
      </c>
      <c r="H85" s="20">
        <f>G85/bitspersec_K</f>
        <v>4.727272727272727E-06</v>
      </c>
      <c r="I85" s="21">
        <f t="shared" si="2"/>
        <v>0.0084790909090909</v>
      </c>
      <c r="K85" s="270"/>
      <c r="L85" s="268"/>
      <c r="M85" s="271"/>
      <c r="N85" s="272"/>
    </row>
    <row r="86" spans="1:14" ht="12.75">
      <c r="A86" s="23" t="s">
        <v>106</v>
      </c>
      <c r="B86" s="30">
        <v>22000000</v>
      </c>
      <c r="C86" s="6" t="s">
        <v>105</v>
      </c>
      <c r="D86" s="19"/>
      <c r="F86" s="4" t="s">
        <v>61</v>
      </c>
      <c r="G86" s="6">
        <f>AckOvrHd_K</f>
        <v>104</v>
      </c>
      <c r="H86" s="20">
        <f>G86/bitspersec_K</f>
        <v>4.727272727272727E-06</v>
      </c>
      <c r="I86" s="21">
        <f t="shared" si="2"/>
        <v>0.008483818181818172</v>
      </c>
      <c r="K86" s="270"/>
      <c r="L86" s="268"/>
      <c r="M86" s="271"/>
      <c r="N86" s="272"/>
    </row>
    <row r="87" spans="1:14" ht="12.75">
      <c r="A87" s="33" t="s">
        <v>152</v>
      </c>
      <c r="B87" s="36">
        <v>5E-06</v>
      </c>
      <c r="C87" s="6" t="s">
        <v>104</v>
      </c>
      <c r="D87" s="19"/>
      <c r="F87" s="4" t="s">
        <v>64</v>
      </c>
      <c r="G87" s="6"/>
      <c r="H87" s="20">
        <f>aDIFSTIME_K</f>
        <v>2.6454545454545458E-05</v>
      </c>
      <c r="I87" s="21">
        <f t="shared" si="2"/>
        <v>0.008510272727272717</v>
      </c>
      <c r="K87" s="270"/>
      <c r="L87" s="268"/>
      <c r="M87" s="271"/>
      <c r="N87" s="272"/>
    </row>
    <row r="88" spans="1:14" ht="12.75">
      <c r="A88" s="23" t="s">
        <v>82</v>
      </c>
      <c r="B88" s="31">
        <v>1E-05</v>
      </c>
      <c r="C88" s="6" t="s">
        <v>104</v>
      </c>
      <c r="D88" s="19"/>
      <c r="F88" s="4" t="s">
        <v>85</v>
      </c>
      <c r="G88" s="6">
        <f>Preamble_K+PLCP_K</f>
        <v>104</v>
      </c>
      <c r="H88" s="20">
        <f>G88/bitspersec_K</f>
        <v>4.727272727272727E-06</v>
      </c>
      <c r="I88" s="21">
        <f t="shared" si="2"/>
        <v>0.00851499999999999</v>
      </c>
      <c r="K88" s="270"/>
      <c r="L88" s="268"/>
      <c r="M88" s="271"/>
      <c r="N88" s="272"/>
    </row>
    <row r="89" spans="1:14" ht="12.75">
      <c r="A89" s="23" t="s">
        <v>83</v>
      </c>
      <c r="B89" s="30">
        <f>0.2*Preamble_K/bitspersec_K+aSIFSTIME_K</f>
        <v>1.0727272727272729E-05</v>
      </c>
      <c r="C89" s="6" t="s">
        <v>104</v>
      </c>
      <c r="D89" s="19"/>
      <c r="F89" s="4" t="s">
        <v>99</v>
      </c>
      <c r="G89" s="6">
        <f>MacPayLdHdr_K</f>
        <v>104</v>
      </c>
      <c r="H89" s="20">
        <f>G89/bitspersec_K</f>
        <v>4.727272727272727E-06</v>
      </c>
      <c r="I89" s="21">
        <f>I88+H89+((Payload_K*8)/bitspersec_K)</f>
        <v>0.009070272727272717</v>
      </c>
      <c r="K89" s="270"/>
      <c r="L89" s="268"/>
      <c r="M89" s="271"/>
      <c r="N89" s="272"/>
    </row>
    <row r="90" spans="1:14" ht="12.75">
      <c r="A90" s="33" t="s">
        <v>153</v>
      </c>
      <c r="B90" s="36">
        <f>2*aSlotTime_K+RxTX_K</f>
        <v>2.6454545454545458E-05</v>
      </c>
      <c r="C90" s="6" t="s">
        <v>104</v>
      </c>
      <c r="D90" s="19"/>
      <c r="F90" s="4" t="s">
        <v>56</v>
      </c>
      <c r="G90" s="6"/>
      <c r="H90" s="20">
        <f>aSIFSTIME_K</f>
        <v>1E-05</v>
      </c>
      <c r="I90" s="21">
        <f t="shared" si="2"/>
        <v>0.009080272727272716</v>
      </c>
      <c r="K90" s="270"/>
      <c r="L90" s="268"/>
      <c r="M90" s="271"/>
      <c r="N90" s="272"/>
    </row>
    <row r="91" spans="1:14" ht="12.75">
      <c r="A91" s="23" t="s">
        <v>90</v>
      </c>
      <c r="B91" s="34">
        <v>80</v>
      </c>
      <c r="C91" s="6" t="s">
        <v>107</v>
      </c>
      <c r="D91" s="19"/>
      <c r="F91" s="4" t="s">
        <v>85</v>
      </c>
      <c r="G91" s="6">
        <f>Preamble_K+PLCP_K</f>
        <v>104</v>
      </c>
      <c r="H91" s="20">
        <f>G91/bitspersec_K</f>
        <v>4.727272727272727E-06</v>
      </c>
      <c r="I91" s="21">
        <f t="shared" si="2"/>
        <v>0.009084999999999989</v>
      </c>
      <c r="K91" s="270"/>
      <c r="L91" s="268"/>
      <c r="M91" s="271"/>
      <c r="N91" s="272"/>
    </row>
    <row r="92" spans="1:14" ht="12.75">
      <c r="A92" s="23" t="s">
        <v>111</v>
      </c>
      <c r="B92" s="25">
        <v>24</v>
      </c>
      <c r="C92" s="6" t="s">
        <v>107</v>
      </c>
      <c r="D92" s="19"/>
      <c r="F92" s="4" t="s">
        <v>101</v>
      </c>
      <c r="G92" s="6">
        <f>AckOvrHd_K</f>
        <v>104</v>
      </c>
      <c r="H92" s="20">
        <f>G92/bitspersec_K</f>
        <v>4.727272727272727E-06</v>
      </c>
      <c r="I92" s="21">
        <f t="shared" si="2"/>
        <v>0.009089727272727261</v>
      </c>
      <c r="K92" s="270"/>
      <c r="L92" s="268"/>
      <c r="M92" s="271"/>
      <c r="N92" s="272"/>
    </row>
    <row r="93" spans="4:14" ht="12.75">
      <c r="D93" s="19"/>
      <c r="F93" s="42"/>
      <c r="G93" s="28"/>
      <c r="H93" s="43"/>
      <c r="I93" s="35"/>
      <c r="K93" s="270"/>
      <c r="L93" s="268"/>
      <c r="M93" s="271"/>
      <c r="N93" s="272"/>
    </row>
    <row r="94" spans="1:14" ht="12.75">
      <c r="A94" s="40" t="s">
        <v>114</v>
      </c>
      <c r="B94" s="41"/>
      <c r="C94" s="41"/>
      <c r="D94" s="19"/>
      <c r="F94" s="6" t="s">
        <v>97</v>
      </c>
      <c r="G94" s="6"/>
      <c r="H94" s="20">
        <f>SUM(H3:H92)</f>
        <v>0.0008315454545454534</v>
      </c>
      <c r="I94" s="20" t="s">
        <v>104</v>
      </c>
      <c r="K94" s="270"/>
      <c r="L94" s="268"/>
      <c r="M94" s="271"/>
      <c r="N94" s="272"/>
    </row>
    <row r="95" spans="1:14" ht="12.75">
      <c r="A95" s="23" t="s">
        <v>91</v>
      </c>
      <c r="B95" s="25">
        <v>1514</v>
      </c>
      <c r="C95" s="6" t="s">
        <v>108</v>
      </c>
      <c r="D95" s="19"/>
      <c r="F95" s="23" t="s">
        <v>80</v>
      </c>
      <c r="G95" s="6">
        <f>SUM(G3:G92)</f>
        <v>6264</v>
      </c>
      <c r="H95" s="6"/>
      <c r="I95" s="20"/>
      <c r="K95" s="270"/>
      <c r="L95" s="268"/>
      <c r="M95" s="271"/>
      <c r="N95" s="272"/>
    </row>
    <row r="96" spans="4:14" ht="12.75">
      <c r="D96" s="19"/>
      <c r="F96" s="23" t="s">
        <v>115</v>
      </c>
      <c r="G96" s="6">
        <f>(COUNTIF(F3:F92,"Data_*")*(Payload_K*8))</f>
        <v>181680</v>
      </c>
      <c r="H96" s="20">
        <f>G96/bitspersec_K</f>
        <v>0.008258181818181819</v>
      </c>
      <c r="I96" s="20" t="s">
        <v>104</v>
      </c>
      <c r="K96" s="270"/>
      <c r="L96" s="268"/>
      <c r="M96" s="271"/>
      <c r="N96" s="272"/>
    </row>
    <row r="97" spans="1:14" ht="12.75">
      <c r="A97" s="40" t="s">
        <v>113</v>
      </c>
      <c r="B97" s="40"/>
      <c r="C97" s="40"/>
      <c r="D97" s="19"/>
      <c r="F97" s="24" t="s">
        <v>103</v>
      </c>
      <c r="G97" s="22"/>
      <c r="H97" s="22">
        <f>H96/(H96+H94)</f>
        <v>0.9085181073539562</v>
      </c>
      <c r="I97" s="22"/>
      <c r="K97" s="270"/>
      <c r="L97" s="268"/>
      <c r="M97" s="271"/>
      <c r="N97" s="272"/>
    </row>
    <row r="98" spans="1:14" ht="12.75">
      <c r="A98" s="23" t="s">
        <v>120</v>
      </c>
      <c r="B98" s="6">
        <v>104</v>
      </c>
      <c r="C98" s="6" t="s">
        <v>107</v>
      </c>
      <c r="D98" s="18"/>
      <c r="F98" s="24"/>
      <c r="G98" s="22"/>
      <c r="H98" s="22"/>
      <c r="I98" s="22"/>
      <c r="K98" s="270"/>
      <c r="L98" s="268"/>
      <c r="M98" s="271"/>
      <c r="N98" s="272"/>
    </row>
    <row r="99" spans="1:14" ht="12.75">
      <c r="A99" s="23" t="s">
        <v>110</v>
      </c>
      <c r="B99" s="6">
        <v>104</v>
      </c>
      <c r="C99" s="6" t="s">
        <v>107</v>
      </c>
      <c r="F99" s="23" t="s">
        <v>86</v>
      </c>
      <c r="G99" s="6"/>
      <c r="H99" s="21">
        <f>bitspersec_K*H97</f>
        <v>19987398.361787036</v>
      </c>
      <c r="I99" s="21" t="s">
        <v>105</v>
      </c>
      <c r="K99" s="270"/>
      <c r="L99" s="268"/>
      <c r="M99" s="271"/>
      <c r="N99" s="272"/>
    </row>
    <row r="100" spans="5:14" ht="12.75">
      <c r="E100" s="16"/>
      <c r="K100" s="270"/>
      <c r="L100" s="268"/>
      <c r="M100" s="271"/>
      <c r="N100" s="272"/>
    </row>
    <row r="101" spans="1:14" ht="13.5" thickBot="1">
      <c r="A101" s="57" t="s">
        <v>119</v>
      </c>
      <c r="B101" s="56"/>
      <c r="C101" s="56"/>
      <c r="E101" s="15"/>
      <c r="F101" s="75" t="s">
        <v>154</v>
      </c>
      <c r="G101" s="77"/>
      <c r="H101" s="124"/>
      <c r="I101" s="78"/>
      <c r="K101" s="270"/>
      <c r="L101" s="268"/>
      <c r="M101" s="271"/>
      <c r="N101" s="272"/>
    </row>
    <row r="102" spans="1:14" ht="13.5" thickTop="1">
      <c r="A102" t="s">
        <v>320</v>
      </c>
      <c r="F102" s="125"/>
      <c r="G102" s="126"/>
      <c r="H102" s="127"/>
      <c r="I102" s="128"/>
      <c r="K102" s="270"/>
      <c r="L102" s="268"/>
      <c r="M102" s="271"/>
      <c r="N102" s="272"/>
    </row>
    <row r="103" spans="1:14" ht="12.75">
      <c r="A103" t="s">
        <v>132</v>
      </c>
      <c r="F103" s="54" t="s">
        <v>303</v>
      </c>
      <c r="G103" s="251"/>
      <c r="H103" s="35"/>
      <c r="I103" s="252"/>
      <c r="K103" s="270"/>
      <c r="L103" s="268"/>
      <c r="M103" s="271"/>
      <c r="N103" s="272"/>
    </row>
    <row r="104" spans="1:14" ht="12.75">
      <c r="A104" t="s">
        <v>145</v>
      </c>
      <c r="F104" s="54" t="s">
        <v>304</v>
      </c>
      <c r="G104" s="251"/>
      <c r="H104" s="35"/>
      <c r="I104" s="252"/>
      <c r="K104" s="270"/>
      <c r="L104" s="268"/>
      <c r="M104" s="271"/>
      <c r="N104" s="272"/>
    </row>
    <row r="105" spans="1:14" ht="12.75">
      <c r="A105" t="s">
        <v>121</v>
      </c>
      <c r="F105" s="54"/>
      <c r="G105" s="251" t="s">
        <v>193</v>
      </c>
      <c r="H105" s="43">
        <f>(aDIFSTIME_K+(2*(Preamble_K+PLCP_K)/bitspersec_K)+(MacPayLdHdr_K/bitspersec_K)+aSIFSTIME_K+(AckOvrHd_K/bitspersec_K))</f>
        <v>5.5363636363636365E-05</v>
      </c>
      <c r="I105" s="253"/>
      <c r="K105" s="270"/>
      <c r="L105" s="268"/>
      <c r="M105" s="271"/>
      <c r="N105" s="272"/>
    </row>
    <row r="106" spans="1:14" ht="12.75">
      <c r="A106" t="s">
        <v>122</v>
      </c>
      <c r="F106" s="54"/>
      <c r="G106" s="251"/>
      <c r="H106" s="43"/>
      <c r="I106" s="252"/>
      <c r="K106" s="270"/>
      <c r="L106" s="268"/>
      <c r="M106" s="271"/>
      <c r="N106" s="272"/>
    </row>
    <row r="107" spans="1:14" ht="12.75">
      <c r="A107" t="s">
        <v>144</v>
      </c>
      <c r="F107" s="54"/>
      <c r="G107" s="130" t="s">
        <v>302</v>
      </c>
      <c r="H107" s="43">
        <f>Payload_K*8/bitspersec_K</f>
        <v>0.0005505454545454545</v>
      </c>
      <c r="I107" s="252"/>
      <c r="K107" s="270"/>
      <c r="L107" s="268"/>
      <c r="M107" s="271"/>
      <c r="N107" s="272"/>
    </row>
    <row r="108" spans="1:14" ht="12.75">
      <c r="A108" t="s">
        <v>123</v>
      </c>
      <c r="F108" s="54"/>
      <c r="G108" s="251"/>
      <c r="H108" s="35"/>
      <c r="I108" s="252"/>
      <c r="K108" s="270"/>
      <c r="L108" s="268"/>
      <c r="M108" s="271"/>
      <c r="N108" s="272"/>
    </row>
    <row r="109" spans="1:14" ht="12.75">
      <c r="A109" t="s">
        <v>124</v>
      </c>
      <c r="F109" s="54" t="s">
        <v>307</v>
      </c>
      <c r="G109" s="251"/>
      <c r="H109" s="35"/>
      <c r="I109" s="252"/>
      <c r="J109" s="61"/>
      <c r="K109" s="270"/>
      <c r="L109" s="268"/>
      <c r="M109" s="271"/>
      <c r="N109" s="272"/>
    </row>
    <row r="110" spans="1:14" ht="12.75">
      <c r="A110" t="s">
        <v>141</v>
      </c>
      <c r="F110" s="54"/>
      <c r="G110" s="251" t="s">
        <v>197</v>
      </c>
      <c r="H110" s="254">
        <f>H107/(H107+H105)</f>
        <v>0.9086271567891973</v>
      </c>
      <c r="I110" s="252"/>
      <c r="J110" s="28"/>
      <c r="K110" s="270"/>
      <c r="L110" s="268"/>
      <c r="M110" s="271"/>
      <c r="N110" s="272"/>
    </row>
    <row r="111" spans="1:14" ht="12.75">
      <c r="A111" t="s">
        <v>142</v>
      </c>
      <c r="F111" s="132" t="s">
        <v>198</v>
      </c>
      <c r="G111" s="251"/>
      <c r="H111" s="27"/>
      <c r="I111" s="252"/>
      <c r="J111" s="28"/>
      <c r="K111" s="270"/>
      <c r="L111" s="268"/>
      <c r="M111" s="271"/>
      <c r="N111" s="272"/>
    </row>
    <row r="112" spans="1:14" ht="12.75">
      <c r="A112" t="s">
        <v>143</v>
      </c>
      <c r="F112" s="55"/>
      <c r="G112" s="255" t="s">
        <v>199</v>
      </c>
      <c r="H112" s="256">
        <f>H110*bitspersec</f>
        <v>19989797.44936234</v>
      </c>
      <c r="I112" s="257"/>
      <c r="J112" s="28"/>
      <c r="K112" s="270"/>
      <c r="L112" s="268"/>
      <c r="M112" s="271"/>
      <c r="N112" s="272"/>
    </row>
    <row r="113" spans="1:14" ht="12.75">
      <c r="A113" t="s">
        <v>125</v>
      </c>
      <c r="J113" s="28"/>
      <c r="K113" s="268"/>
      <c r="L113" s="268"/>
      <c r="M113" s="271"/>
      <c r="N113" s="271"/>
    </row>
    <row r="114" spans="1:14" ht="12.75">
      <c r="A114" t="s">
        <v>126</v>
      </c>
      <c r="K114" s="276"/>
      <c r="L114" s="268"/>
      <c r="M114" s="268"/>
      <c r="N114" s="271"/>
    </row>
    <row r="115" spans="1:14" ht="12.75">
      <c r="A115" t="s">
        <v>127</v>
      </c>
      <c r="B115" s="16"/>
      <c r="K115" s="276"/>
      <c r="L115" s="268"/>
      <c r="M115" s="271"/>
      <c r="N115" s="271"/>
    </row>
    <row r="116" spans="1:14" ht="12.75">
      <c r="A116" s="60" t="s">
        <v>146</v>
      </c>
      <c r="B116" s="16"/>
      <c r="K116" s="277"/>
      <c r="L116" s="278"/>
      <c r="M116" s="278"/>
      <c r="N116" s="278"/>
    </row>
    <row r="117" spans="1:14" ht="12.75">
      <c r="A117" s="58" t="s">
        <v>128</v>
      </c>
      <c r="B117" s="16"/>
      <c r="K117" s="277"/>
      <c r="L117" s="278"/>
      <c r="M117" s="278"/>
      <c r="N117" s="278"/>
    </row>
    <row r="118" spans="1:14" ht="12.75">
      <c r="A118" s="59" t="s">
        <v>129</v>
      </c>
      <c r="K118" s="276"/>
      <c r="L118" s="268"/>
      <c r="M118" s="272"/>
      <c r="N118" s="272"/>
    </row>
    <row r="119" spans="1:14" ht="12.75">
      <c r="A119" s="59" t="s">
        <v>130</v>
      </c>
      <c r="K119" s="270"/>
      <c r="L119" s="268"/>
      <c r="M119" s="271"/>
      <c r="N119" s="272"/>
    </row>
    <row r="120" spans="1:14" ht="12.75">
      <c r="A120" s="59" t="s">
        <v>131</v>
      </c>
      <c r="K120" s="269"/>
      <c r="L120" s="126"/>
      <c r="M120" s="127"/>
      <c r="N120" s="126"/>
    </row>
    <row r="121" spans="1:14" ht="12.75">
      <c r="A121" s="59"/>
      <c r="K121" s="269"/>
      <c r="L121" s="126"/>
      <c r="M121" s="127"/>
      <c r="N121" s="126"/>
    </row>
    <row r="122" spans="11:14" ht="12.75">
      <c r="K122" s="268"/>
      <c r="L122" s="276"/>
      <c r="M122" s="272"/>
      <c r="N122" s="270"/>
    </row>
    <row r="123" spans="11:14" ht="12.75">
      <c r="K123" s="268"/>
      <c r="L123" s="276"/>
      <c r="M123" s="272"/>
      <c r="N123" s="270"/>
    </row>
    <row r="124" spans="11:14" ht="12.75">
      <c r="K124" s="268"/>
      <c r="L124" s="276"/>
      <c r="M124" s="271"/>
      <c r="N124" s="273"/>
    </row>
    <row r="125" spans="11:14" ht="12.75">
      <c r="K125" s="268"/>
      <c r="L125" s="276"/>
      <c r="M125" s="271"/>
      <c r="N125" s="270"/>
    </row>
    <row r="126" spans="11:14" ht="12.75">
      <c r="K126" s="268"/>
      <c r="L126" s="276"/>
      <c r="M126" s="271"/>
      <c r="N126" s="270"/>
    </row>
    <row r="127" spans="11:14" ht="12.75">
      <c r="K127" s="268"/>
      <c r="L127" s="276"/>
      <c r="M127" s="272"/>
      <c r="N127" s="270"/>
    </row>
    <row r="128" spans="11:14" ht="12.75">
      <c r="K128" s="268"/>
      <c r="L128" s="276"/>
      <c r="M128" s="272"/>
      <c r="N128" s="270"/>
    </row>
    <row r="129" spans="11:14" ht="12.75">
      <c r="K129" s="268"/>
      <c r="L129" s="276"/>
      <c r="M129" s="278"/>
      <c r="N129" s="270"/>
    </row>
    <row r="130" spans="11:14" ht="12.75">
      <c r="K130" s="279"/>
      <c r="L130" s="276"/>
      <c r="M130" s="268"/>
      <c r="N130" s="270"/>
    </row>
    <row r="131" spans="11:14" ht="12.75">
      <c r="K131" s="268"/>
      <c r="L131" s="276"/>
      <c r="M131" s="272"/>
      <c r="N131" s="270"/>
    </row>
    <row r="132" spans="11:14" ht="12.75">
      <c r="K132" s="42"/>
      <c r="L132" s="27"/>
      <c r="M132" s="43"/>
      <c r="N132" s="35"/>
    </row>
    <row r="133" spans="11:14" ht="12.75">
      <c r="K133" s="42"/>
      <c r="L133" s="27"/>
      <c r="M133" s="43"/>
      <c r="N133" s="35"/>
    </row>
    <row r="134" spans="11:14" ht="12.75">
      <c r="K134" s="42"/>
      <c r="L134" s="27"/>
      <c r="M134" s="43"/>
      <c r="N134" s="35"/>
    </row>
    <row r="135" spans="11:14" ht="12.75">
      <c r="K135" s="42"/>
      <c r="L135" s="27"/>
      <c r="M135" s="43"/>
      <c r="N135" s="35"/>
    </row>
    <row r="136" spans="11:14" ht="12.75">
      <c r="K136" s="42"/>
      <c r="L136" s="27"/>
      <c r="M136" s="43"/>
      <c r="N136" s="35"/>
    </row>
    <row r="137" spans="11:14" ht="12.75">
      <c r="K137" s="42"/>
      <c r="L137" s="27"/>
      <c r="M137" s="43"/>
      <c r="N137" s="35"/>
    </row>
    <row r="138" spans="11:14" ht="12.75">
      <c r="K138" s="42"/>
      <c r="L138" s="27"/>
      <c r="M138" s="43"/>
      <c r="N138" s="35"/>
    </row>
    <row r="139" spans="11:14" ht="12.75">
      <c r="K139" s="42"/>
      <c r="L139" s="27"/>
      <c r="M139" s="43"/>
      <c r="N139" s="35"/>
    </row>
    <row r="140" spans="11:14" ht="12.75">
      <c r="K140" s="42"/>
      <c r="L140" s="27"/>
      <c r="M140" s="43"/>
      <c r="N140" s="35"/>
    </row>
    <row r="141" spans="11:14" ht="12.75">
      <c r="K141" s="42"/>
      <c r="L141" s="27"/>
      <c r="M141" s="43"/>
      <c r="N141" s="35"/>
    </row>
    <row r="142" spans="11:14" ht="12.75">
      <c r="K142" s="42"/>
      <c r="L142" s="27"/>
      <c r="M142" s="43"/>
      <c r="N142" s="35"/>
    </row>
    <row r="143" spans="11:14" ht="12.75">
      <c r="K143" s="42"/>
      <c r="L143" s="27"/>
      <c r="M143" s="43"/>
      <c r="N143" s="35"/>
    </row>
    <row r="144" spans="11:14" ht="12.75">
      <c r="K144" s="42"/>
      <c r="L144" s="27"/>
      <c r="M144" s="43"/>
      <c r="N144" s="35"/>
    </row>
    <row r="145" spans="11:14" ht="12.75">
      <c r="K145" s="42"/>
      <c r="L145" s="27"/>
      <c r="M145" s="43"/>
      <c r="N145" s="35"/>
    </row>
    <row r="146" spans="11:14" ht="12.75">
      <c r="K146" s="42"/>
      <c r="L146" s="27"/>
      <c r="M146" s="43"/>
      <c r="N146" s="35"/>
    </row>
    <row r="147" spans="11:14" ht="12.75">
      <c r="K147" s="270"/>
      <c r="L147" s="268"/>
      <c r="M147" s="271"/>
      <c r="N147" s="272"/>
    </row>
    <row r="148" spans="11:14" ht="12.75">
      <c r="K148" s="270"/>
      <c r="L148" s="268"/>
      <c r="M148" s="271"/>
      <c r="N148" s="272"/>
    </row>
    <row r="149" spans="11:14" ht="12.75">
      <c r="K149" s="270"/>
      <c r="L149" s="268"/>
      <c r="M149" s="271"/>
      <c r="N149" s="272"/>
    </row>
    <row r="150" spans="11:14" ht="12.75">
      <c r="K150" s="270"/>
      <c r="L150" s="268"/>
      <c r="M150" s="271"/>
      <c r="N150" s="272"/>
    </row>
    <row r="151" spans="11:14" ht="12.75">
      <c r="K151" s="270"/>
      <c r="L151" s="268"/>
      <c r="M151" s="271"/>
      <c r="N151" s="272"/>
    </row>
    <row r="152" spans="11:14" ht="12.75">
      <c r="K152" s="270"/>
      <c r="L152" s="268"/>
      <c r="M152" s="271"/>
      <c r="N152" s="272"/>
    </row>
    <row r="153" spans="11:14" ht="12.75">
      <c r="K153" s="270"/>
      <c r="L153" s="268"/>
      <c r="M153" s="271"/>
      <c r="N153" s="272"/>
    </row>
    <row r="154" spans="11:14" ht="12.75">
      <c r="K154" s="270"/>
      <c r="L154" s="268"/>
      <c r="M154" s="271"/>
      <c r="N154" s="272"/>
    </row>
    <row r="155" spans="11:14" ht="12.75">
      <c r="K155" s="270"/>
      <c r="L155" s="268"/>
      <c r="M155" s="271"/>
      <c r="N155" s="272"/>
    </row>
    <row r="156" spans="11:14" ht="12.75">
      <c r="K156" s="270"/>
      <c r="L156" s="268"/>
      <c r="M156" s="271"/>
      <c r="N156" s="272"/>
    </row>
    <row r="157" spans="11:14" ht="12.75">
      <c r="K157" s="270"/>
      <c r="L157" s="268"/>
      <c r="M157" s="271"/>
      <c r="N157" s="272"/>
    </row>
    <row r="158" spans="11:14" ht="12.75">
      <c r="K158" s="270"/>
      <c r="L158" s="268"/>
      <c r="M158" s="271"/>
      <c r="N158" s="272"/>
    </row>
    <row r="159" spans="11:14" ht="12.75">
      <c r="K159" s="270"/>
      <c r="L159" s="268"/>
      <c r="M159" s="271"/>
      <c r="N159" s="272"/>
    </row>
    <row r="160" spans="11:14" ht="12.75">
      <c r="K160" s="270"/>
      <c r="L160" s="268"/>
      <c r="M160" s="271"/>
      <c r="N160" s="272"/>
    </row>
    <row r="161" spans="11:14" ht="12.75">
      <c r="K161" s="270"/>
      <c r="L161" s="268"/>
      <c r="M161" s="271"/>
      <c r="N161" s="272"/>
    </row>
    <row r="162" spans="11:14" ht="12.75">
      <c r="K162" s="270"/>
      <c r="L162" s="268"/>
      <c r="M162" s="271"/>
      <c r="N162" s="272"/>
    </row>
    <row r="163" spans="11:14" ht="12.75">
      <c r="K163" s="270"/>
      <c r="L163" s="268"/>
      <c r="M163" s="271"/>
      <c r="N163" s="272"/>
    </row>
    <row r="164" spans="11:14" ht="12.75">
      <c r="K164" s="270"/>
      <c r="L164" s="268"/>
      <c r="M164" s="271"/>
      <c r="N164" s="272"/>
    </row>
    <row r="165" spans="11:14" ht="12.75">
      <c r="K165" s="270"/>
      <c r="L165" s="268"/>
      <c r="M165" s="271"/>
      <c r="N165" s="272"/>
    </row>
    <row r="166" spans="11:14" ht="12.75">
      <c r="K166" s="270"/>
      <c r="L166" s="268"/>
      <c r="M166" s="271"/>
      <c r="N166" s="272"/>
    </row>
    <row r="167" spans="11:14" ht="12.75">
      <c r="K167" s="270"/>
      <c r="L167" s="268"/>
      <c r="M167" s="271"/>
      <c r="N167" s="272"/>
    </row>
    <row r="168" spans="11:14" ht="12.75">
      <c r="K168" s="270"/>
      <c r="L168" s="268"/>
      <c r="M168" s="271"/>
      <c r="N168" s="272"/>
    </row>
    <row r="169" spans="11:14" ht="12.75">
      <c r="K169" s="270"/>
      <c r="L169" s="268"/>
      <c r="M169" s="271"/>
      <c r="N169" s="272"/>
    </row>
    <row r="170" spans="11:14" ht="12.75">
      <c r="K170" s="270"/>
      <c r="L170" s="268"/>
      <c r="M170" s="271"/>
      <c r="N170" s="272"/>
    </row>
    <row r="171" spans="11:14" ht="12.75">
      <c r="K171" s="270"/>
      <c r="L171" s="268"/>
      <c r="M171" s="271"/>
      <c r="N171" s="272"/>
    </row>
    <row r="172" spans="11:14" ht="12.75">
      <c r="K172" s="270"/>
      <c r="L172" s="268"/>
      <c r="M172" s="271"/>
      <c r="N172" s="272"/>
    </row>
    <row r="173" spans="11:14" ht="12.75">
      <c r="K173" s="270"/>
      <c r="L173" s="268"/>
      <c r="M173" s="271"/>
      <c r="N173" s="272"/>
    </row>
    <row r="174" spans="11:14" ht="12.75">
      <c r="K174" s="270"/>
      <c r="L174" s="268"/>
      <c r="M174" s="271"/>
      <c r="N174" s="272"/>
    </row>
    <row r="175" spans="11:14" ht="12.75">
      <c r="K175" s="270"/>
      <c r="L175" s="268"/>
      <c r="M175" s="271"/>
      <c r="N175" s="272"/>
    </row>
    <row r="176" spans="11:14" ht="12.75">
      <c r="K176" s="270"/>
      <c r="L176" s="268"/>
      <c r="M176" s="271"/>
      <c r="N176" s="272"/>
    </row>
    <row r="177" spans="11:14" ht="12.75">
      <c r="K177" s="270"/>
      <c r="L177" s="268"/>
      <c r="M177" s="271"/>
      <c r="N177" s="272"/>
    </row>
    <row r="178" spans="11:14" ht="12.75">
      <c r="K178" s="270"/>
      <c r="L178" s="268"/>
      <c r="M178" s="271"/>
      <c r="N178" s="272"/>
    </row>
    <row r="179" spans="11:14" ht="12.75">
      <c r="K179" s="270"/>
      <c r="L179" s="268"/>
      <c r="M179" s="271"/>
      <c r="N179" s="272"/>
    </row>
    <row r="180" spans="11:14" ht="12.75">
      <c r="K180" s="270"/>
      <c r="L180" s="268"/>
      <c r="M180" s="271"/>
      <c r="N180" s="272"/>
    </row>
    <row r="181" spans="11:14" ht="12.75">
      <c r="K181" s="270"/>
      <c r="L181" s="268"/>
      <c r="M181" s="271"/>
      <c r="N181" s="272"/>
    </row>
    <row r="182" spans="11:14" ht="12.75">
      <c r="K182" s="270"/>
      <c r="L182" s="268"/>
      <c r="M182" s="271"/>
      <c r="N182" s="272"/>
    </row>
    <row r="183" spans="11:14" ht="12.75">
      <c r="K183" s="42"/>
      <c r="L183" s="28"/>
      <c r="M183" s="43"/>
      <c r="N183" s="35"/>
    </row>
    <row r="184" spans="11:14" ht="12.75">
      <c r="K184" s="10"/>
      <c r="M184" s="17"/>
      <c r="N184" s="19"/>
    </row>
    <row r="185" spans="12:14" ht="12.75">
      <c r="L185" s="1"/>
      <c r="M185" s="1"/>
      <c r="N185" s="1"/>
    </row>
  </sheetData>
  <printOptions/>
  <pageMargins left="0.75" right="0.75" top="1" bottom="1" header="0.5" footer="0.5"/>
  <pageSetup horizontalDpi="600" verticalDpi="600" orientation="landscape" r:id="rId1"/>
  <headerFooter alignWithMargins="0">
    <oddHeader>&amp;LNovember, 2000&amp;RIEEE P802.15.3 00/354r1</oddHeader>
    <oddFooter>&amp;LSubmission&amp;C&amp;P&amp;RPat Kinney, Intermec</oddFooter>
  </headerFooter>
</worksheet>
</file>

<file path=xl/worksheets/sheet6.xml><?xml version="1.0" encoding="utf-8"?>
<worksheet xmlns="http://schemas.openxmlformats.org/spreadsheetml/2006/main" xmlns:r="http://schemas.openxmlformats.org/officeDocument/2006/relationships">
  <dimension ref="A1:O272"/>
  <sheetViews>
    <sheetView zoomScale="75" zoomScaleNormal="75" workbookViewId="0" topLeftCell="A81">
      <selection activeCell="K117" sqref="K117"/>
    </sheetView>
  </sheetViews>
  <sheetFormatPr defaultColWidth="9.140625" defaultRowHeight="12.75"/>
  <cols>
    <col min="1" max="1" width="22.421875" style="0" bestFit="1" customWidth="1"/>
    <col min="2" max="2" width="12.7109375" style="0" customWidth="1"/>
    <col min="3" max="3" width="10.8515625" style="0" bestFit="1" customWidth="1"/>
    <col min="4" max="4" width="15.7109375" style="0" customWidth="1"/>
    <col min="6" max="6" width="22.421875" style="0" bestFit="1" customWidth="1"/>
    <col min="8" max="8" width="10.421875" style="0" bestFit="1" customWidth="1"/>
    <col min="9" max="9" width="13.57421875" style="0" customWidth="1"/>
    <col min="10" max="10" width="3.7109375" style="0" customWidth="1"/>
    <col min="11" max="11" width="22.8515625" style="0" bestFit="1" customWidth="1"/>
    <col min="13" max="13" width="10.421875" style="0" bestFit="1" customWidth="1"/>
    <col min="14" max="14" width="12.140625" style="0" bestFit="1" customWidth="1"/>
  </cols>
  <sheetData>
    <row r="1" spans="1:15" ht="18">
      <c r="A1" s="286"/>
      <c r="B1" s="287" t="s">
        <v>155</v>
      </c>
      <c r="C1" s="288"/>
      <c r="D1" s="289"/>
      <c r="E1" s="79"/>
      <c r="F1" s="286"/>
      <c r="G1" s="287" t="s">
        <v>156</v>
      </c>
      <c r="H1" s="288"/>
      <c r="I1" s="289"/>
      <c r="J1" s="250"/>
      <c r="K1" s="283"/>
      <c r="L1" s="284" t="s">
        <v>309</v>
      </c>
      <c r="M1" s="285"/>
      <c r="N1" s="285"/>
      <c r="O1" s="80"/>
    </row>
    <row r="2" spans="1:15" ht="12.75">
      <c r="A2" s="81" t="s">
        <v>310</v>
      </c>
      <c r="B2" s="82"/>
      <c r="C2" s="83"/>
      <c r="D2" s="84"/>
      <c r="E2" s="85"/>
      <c r="F2" s="81" t="s">
        <v>311</v>
      </c>
      <c r="G2" s="83"/>
      <c r="H2" s="86"/>
      <c r="I2" s="86"/>
      <c r="J2" s="85"/>
      <c r="K2" s="81" t="s">
        <v>312</v>
      </c>
      <c r="L2" s="83"/>
      <c r="M2" s="86"/>
      <c r="N2" s="86"/>
      <c r="O2" s="87"/>
    </row>
    <row r="3" spans="1:15" ht="22.5">
      <c r="A3" s="88" t="s">
        <v>157</v>
      </c>
      <c r="B3" s="89" t="s">
        <v>158</v>
      </c>
      <c r="C3" s="90" t="s">
        <v>159</v>
      </c>
      <c r="D3" s="90" t="s">
        <v>160</v>
      </c>
      <c r="E3" s="91"/>
      <c r="F3" s="88" t="s">
        <v>157</v>
      </c>
      <c r="G3" s="89" t="s">
        <v>158</v>
      </c>
      <c r="H3" s="90" t="s">
        <v>161</v>
      </c>
      <c r="I3" s="90" t="s">
        <v>160</v>
      </c>
      <c r="J3" s="91"/>
      <c r="K3" s="88" t="s">
        <v>157</v>
      </c>
      <c r="L3" s="89" t="s">
        <v>158</v>
      </c>
      <c r="M3" s="90" t="s">
        <v>159</v>
      </c>
      <c r="N3" s="90" t="s">
        <v>160</v>
      </c>
      <c r="O3" s="91"/>
    </row>
    <row r="4" spans="1:15" ht="12.75">
      <c r="A4" s="99" t="s">
        <v>313</v>
      </c>
      <c r="B4" s="93"/>
      <c r="C4" s="94">
        <f>Mslot__Time</f>
        <v>5.8182E-06</v>
      </c>
      <c r="D4" s="95">
        <f>C4</f>
        <v>5.8182E-06</v>
      </c>
      <c r="E4" s="96"/>
      <c r="F4" s="99" t="s">
        <v>313</v>
      </c>
      <c r="G4" s="93"/>
      <c r="H4" s="94">
        <f>Mslot__Time</f>
        <v>5.8182E-06</v>
      </c>
      <c r="I4" s="94">
        <f>0+H4</f>
        <v>5.8182E-06</v>
      </c>
      <c r="J4" s="96"/>
      <c r="K4" s="92" t="s">
        <v>162</v>
      </c>
      <c r="L4" s="93"/>
      <c r="M4" s="94">
        <f>RxTx_time</f>
        <v>5E-06</v>
      </c>
      <c r="N4" s="94">
        <f>M4</f>
        <v>5E-06</v>
      </c>
      <c r="O4" s="96"/>
    </row>
    <row r="5" spans="1:15" ht="12.75">
      <c r="A5" s="92" t="s">
        <v>162</v>
      </c>
      <c r="B5" s="93"/>
      <c r="C5" s="94">
        <f>RxTx_time</f>
        <v>5E-06</v>
      </c>
      <c r="D5" s="97">
        <f>C5+D4</f>
        <v>1.0818200000000001E-05</v>
      </c>
      <c r="E5" s="96"/>
      <c r="F5" s="92" t="s">
        <v>162</v>
      </c>
      <c r="G5" s="93"/>
      <c r="H5" s="94">
        <f>RxTx_time</f>
        <v>5E-06</v>
      </c>
      <c r="I5" s="94">
        <f>I4+H5</f>
        <v>1.0818200000000001E-05</v>
      </c>
      <c r="J5" s="96"/>
      <c r="K5" s="92" t="s">
        <v>85</v>
      </c>
      <c r="L5" s="98">
        <f>Preamble___PLCP</f>
        <v>616</v>
      </c>
      <c r="M5" s="94">
        <f>L5/bitspersecH</f>
        <v>2.8E-05</v>
      </c>
      <c r="N5" s="94">
        <f>N4+M5</f>
        <v>3.3E-05</v>
      </c>
      <c r="O5" s="96"/>
    </row>
    <row r="6" spans="1:15" ht="12.75">
      <c r="A6" s="92" t="s">
        <v>85</v>
      </c>
      <c r="B6" s="98">
        <f>Preamble___PLCP</f>
        <v>616</v>
      </c>
      <c r="C6" s="94">
        <f>B6/bitspersecH</f>
        <v>2.8E-05</v>
      </c>
      <c r="D6" s="97">
        <f>C6+D5</f>
        <v>3.88182E-05</v>
      </c>
      <c r="E6" s="96"/>
      <c r="F6" s="92" t="s">
        <v>85</v>
      </c>
      <c r="G6" s="98">
        <f>Preamble___PLCP</f>
        <v>616</v>
      </c>
      <c r="H6" s="94">
        <f>G6/bitspersecH</f>
        <v>2.8E-05</v>
      </c>
      <c r="I6" s="94">
        <f>I5+H6</f>
        <v>3.88182E-05</v>
      </c>
      <c r="J6" s="96"/>
      <c r="K6" s="99" t="s">
        <v>163</v>
      </c>
      <c r="L6" s="98">
        <f>MacPayLdHdr_H+(PktsperSlotCycle*CRC_OvrHd_H)</f>
        <v>64</v>
      </c>
      <c r="M6" s="94">
        <f>L6/bitspersecH</f>
        <v>2.9090909090909093E-06</v>
      </c>
      <c r="N6" s="94">
        <f>N5+M6+((PktsperSlotCycle*Isoc__Payload*8)/bitspersecH)</f>
        <v>0.0016875454545454546</v>
      </c>
      <c r="O6" s="96"/>
    </row>
    <row r="7" spans="1:15" ht="12.75">
      <c r="A7" s="92" t="s">
        <v>58</v>
      </c>
      <c r="B7" s="98">
        <f>MacPayLdHdr_H+(PktsperSlotCycle*CRC_OvrHd_H)</f>
        <v>64</v>
      </c>
      <c r="C7" s="94">
        <f>B7/bitspersecH</f>
        <v>2.9090909090909093E-06</v>
      </c>
      <c r="D7" s="94">
        <f>D6+C7+((PktsperSlotCycle*Async__Payload*8)/bitspersecH)</f>
        <v>0.0016933636545454545</v>
      </c>
      <c r="E7" s="100"/>
      <c r="F7" s="92" t="s">
        <v>164</v>
      </c>
      <c r="G7" s="98">
        <f>MacPayLdHdr_H+(PktsperSlotCycle*CRC_OvrHd_H)</f>
        <v>64</v>
      </c>
      <c r="H7" s="94">
        <f>G7/bitspersecH</f>
        <v>2.9090909090909093E-06</v>
      </c>
      <c r="I7" s="94">
        <f>I6+H7+((PktsperSlotCycle*Async__Payload*8)/bitspersecH)</f>
        <v>0.0016933636545454545</v>
      </c>
      <c r="J7" s="96"/>
      <c r="K7" s="92" t="s">
        <v>162</v>
      </c>
      <c r="L7" s="93"/>
      <c r="M7" s="94">
        <f>RxTx_time</f>
        <v>5E-06</v>
      </c>
      <c r="N7" s="94">
        <f>N6+M7</f>
        <v>0.0016925454545454546</v>
      </c>
      <c r="O7" s="100"/>
    </row>
    <row r="8" spans="1:15" ht="12.75">
      <c r="A8" s="92" t="s">
        <v>56</v>
      </c>
      <c r="B8" s="98"/>
      <c r="C8" s="94">
        <f>aSIFSTIME_H</f>
        <v>1E-05</v>
      </c>
      <c r="D8" s="97">
        <f aca="true" t="shared" si="0" ref="D8:D13">C8+D7</f>
        <v>0.0017033636545454546</v>
      </c>
      <c r="E8" s="96"/>
      <c r="F8" s="92" t="s">
        <v>56</v>
      </c>
      <c r="G8" s="98"/>
      <c r="H8" s="94">
        <f>aSIFSTIME_H</f>
        <v>1E-05</v>
      </c>
      <c r="I8" s="94">
        <f aca="true" t="shared" si="1" ref="I8:I13">I7+H8</f>
        <v>0.0017033636545454546</v>
      </c>
      <c r="J8" s="96"/>
      <c r="K8" s="92" t="s">
        <v>85</v>
      </c>
      <c r="L8" s="98">
        <f>Preamble___PLCP</f>
        <v>616</v>
      </c>
      <c r="M8" s="94">
        <f>L8/bitspersecH</f>
        <v>2.8E-05</v>
      </c>
      <c r="N8" s="94">
        <f>N7+M8</f>
        <v>0.0017205454545454546</v>
      </c>
      <c r="O8" s="96"/>
    </row>
    <row r="9" spans="1:15" ht="12.75">
      <c r="A9" s="92" t="s">
        <v>85</v>
      </c>
      <c r="B9" s="98">
        <f>Preamble___PLCP</f>
        <v>616</v>
      </c>
      <c r="C9" s="94">
        <f>B9/bitspersecH</f>
        <v>2.8E-05</v>
      </c>
      <c r="D9" s="97">
        <f t="shared" si="0"/>
        <v>0.0017313636545454546</v>
      </c>
      <c r="E9" s="96"/>
      <c r="F9" s="92" t="s">
        <v>85</v>
      </c>
      <c r="G9" s="98">
        <f>Preamble___PLCP</f>
        <v>616</v>
      </c>
      <c r="H9" s="94">
        <f>G9/bitspersecH</f>
        <v>2.8E-05</v>
      </c>
      <c r="I9" s="94">
        <f t="shared" si="1"/>
        <v>0.0017313636545454546</v>
      </c>
      <c r="J9" s="96"/>
      <c r="K9" s="92" t="s">
        <v>164</v>
      </c>
      <c r="L9" s="98">
        <f>MacPayLdHdr_H+(PktsperSlotCycle*CRC_OvrHd_H)</f>
        <v>64</v>
      </c>
      <c r="M9" s="94">
        <f>L9/bitspersecH</f>
        <v>2.9090909090909093E-06</v>
      </c>
      <c r="N9" s="94">
        <f>N8+M9+((PktsperSlotCycle*Async__Payload*8)/bitspersecH)</f>
        <v>0.003375090909090909</v>
      </c>
      <c r="O9" s="96"/>
    </row>
    <row r="10" spans="1:15" ht="12.75">
      <c r="A10" s="92" t="s">
        <v>59</v>
      </c>
      <c r="B10" s="98">
        <f>ACK</f>
        <v>78</v>
      </c>
      <c r="C10" s="94">
        <f>B10/bitspersecH</f>
        <v>3.5454545454545454E-06</v>
      </c>
      <c r="D10" s="97">
        <f t="shared" si="0"/>
        <v>0.0017349091090909092</v>
      </c>
      <c r="E10" s="96"/>
      <c r="F10" s="92" t="s">
        <v>165</v>
      </c>
      <c r="G10" s="98">
        <f>ACK</f>
        <v>78</v>
      </c>
      <c r="H10" s="94">
        <f>G10/bitspersecH</f>
        <v>3.5454545454545454E-06</v>
      </c>
      <c r="I10" s="94">
        <f t="shared" si="1"/>
        <v>0.0017349091090909092</v>
      </c>
      <c r="J10" s="96"/>
      <c r="K10" s="92" t="s">
        <v>56</v>
      </c>
      <c r="L10" s="98"/>
      <c r="M10" s="94">
        <f>aSIFSTIME_H</f>
        <v>1E-05</v>
      </c>
      <c r="N10" s="94">
        <f aca="true" t="shared" si="2" ref="N10:N15">N9+M10</f>
        <v>0.003385090909090909</v>
      </c>
      <c r="O10" s="96"/>
    </row>
    <row r="11" spans="1:15" ht="12.75">
      <c r="A11" s="99" t="s">
        <v>313</v>
      </c>
      <c r="B11" s="93"/>
      <c r="C11" s="94">
        <f>Mslot__Time</f>
        <v>5.8182E-06</v>
      </c>
      <c r="D11" s="97">
        <f t="shared" si="0"/>
        <v>0.0017407273090909092</v>
      </c>
      <c r="E11" s="96"/>
      <c r="F11" s="99" t="s">
        <v>313</v>
      </c>
      <c r="G11" s="93"/>
      <c r="H11" s="94">
        <f>Mslot__Time</f>
        <v>5.8182E-06</v>
      </c>
      <c r="I11" s="94">
        <f t="shared" si="1"/>
        <v>0.0017407273090909092</v>
      </c>
      <c r="J11" s="96"/>
      <c r="K11" s="92" t="s">
        <v>85</v>
      </c>
      <c r="L11" s="98">
        <f>Preamble___PLCP</f>
        <v>616</v>
      </c>
      <c r="M11" s="94">
        <f>L11/bitspersecH</f>
        <v>2.8E-05</v>
      </c>
      <c r="N11" s="94">
        <f t="shared" si="2"/>
        <v>0.003413090909090909</v>
      </c>
      <c r="O11" s="96"/>
    </row>
    <row r="12" spans="1:15" ht="12.75">
      <c r="A12" s="92" t="s">
        <v>162</v>
      </c>
      <c r="B12" s="93"/>
      <c r="C12" s="94">
        <f>RxTx_time</f>
        <v>5E-06</v>
      </c>
      <c r="D12" s="97">
        <f t="shared" si="0"/>
        <v>0.0017457273090909092</v>
      </c>
      <c r="E12" s="96"/>
      <c r="F12" s="92" t="s">
        <v>162</v>
      </c>
      <c r="G12" s="93"/>
      <c r="H12" s="94">
        <f>RxTx_time</f>
        <v>5E-06</v>
      </c>
      <c r="I12" s="94">
        <f t="shared" si="1"/>
        <v>0.0017457273090909092</v>
      </c>
      <c r="J12" s="96"/>
      <c r="K12" s="92" t="s">
        <v>165</v>
      </c>
      <c r="L12" s="98">
        <f>ACK</f>
        <v>78</v>
      </c>
      <c r="M12" s="94">
        <f>L12/bitspersecH</f>
        <v>3.5454545454545454E-06</v>
      </c>
      <c r="N12" s="94">
        <f t="shared" si="2"/>
        <v>0.0034166363636363634</v>
      </c>
      <c r="O12" s="96"/>
    </row>
    <row r="13" spans="1:15" ht="12.75">
      <c r="A13" s="92" t="s">
        <v>85</v>
      </c>
      <c r="B13" s="98">
        <f>Preamble___PLCP</f>
        <v>616</v>
      </c>
      <c r="C13" s="94">
        <f>B13/bitspersecH</f>
        <v>2.8E-05</v>
      </c>
      <c r="D13" s="97">
        <f t="shared" si="0"/>
        <v>0.0017737273090909092</v>
      </c>
      <c r="E13" s="96"/>
      <c r="F13" s="92" t="s">
        <v>85</v>
      </c>
      <c r="G13" s="98">
        <f>Preamble___PLCP</f>
        <v>616</v>
      </c>
      <c r="H13" s="94">
        <f>G13/bitspersecH</f>
        <v>2.8E-05</v>
      </c>
      <c r="I13" s="94">
        <f t="shared" si="1"/>
        <v>0.0017737273090909092</v>
      </c>
      <c r="J13" s="100"/>
      <c r="K13" s="99" t="s">
        <v>313</v>
      </c>
      <c r="L13" s="93"/>
      <c r="M13" s="94">
        <f>Mslot__Time</f>
        <v>5.8182E-06</v>
      </c>
      <c r="N13" s="94">
        <f>N12+M13</f>
        <v>0.0034224545636363634</v>
      </c>
      <c r="O13" s="100"/>
    </row>
    <row r="14" spans="1:15" ht="12.75">
      <c r="A14" s="92" t="s">
        <v>60</v>
      </c>
      <c r="B14" s="98">
        <f>MacPayLdHdr_H+(PktsperSlotCycle*CRC_OvrHd_H)</f>
        <v>64</v>
      </c>
      <c r="C14" s="94">
        <f>B14/bitspersecH</f>
        <v>2.9090909090909093E-06</v>
      </c>
      <c r="D14" s="94">
        <f>D13+C14+((PktsperSlotCycle*Async__Payload*8)/bitspersecH)</f>
        <v>0.0034282727636363638</v>
      </c>
      <c r="E14" s="96"/>
      <c r="F14" s="92" t="s">
        <v>166</v>
      </c>
      <c r="G14" s="98">
        <f>MacPayLdHdr_H+(PktsperSlotCycle*CRC_OvrHd_H)</f>
        <v>64</v>
      </c>
      <c r="H14" s="94">
        <f>G14/bitspersecH</f>
        <v>2.9090909090909093E-06</v>
      </c>
      <c r="I14" s="94">
        <f>I13+H14+((PktsperSlotCycle*Async__Payload*8)/bitspersecH)</f>
        <v>0.0034282727636363638</v>
      </c>
      <c r="J14" s="96"/>
      <c r="K14" s="92" t="s">
        <v>162</v>
      </c>
      <c r="L14" s="93"/>
      <c r="M14" s="94">
        <f>RxTx_time</f>
        <v>5E-06</v>
      </c>
      <c r="N14" s="94">
        <f t="shared" si="2"/>
        <v>0.003427454563636363</v>
      </c>
      <c r="O14" s="96"/>
    </row>
    <row r="15" spans="1:15" ht="12.75">
      <c r="A15" s="92" t="s">
        <v>56</v>
      </c>
      <c r="B15" s="98"/>
      <c r="C15" s="94">
        <f>aSIFSTIME_H</f>
        <v>1E-05</v>
      </c>
      <c r="D15" s="97">
        <f aca="true" t="shared" si="3" ref="D15:D20">C15+D14</f>
        <v>0.003438272763636364</v>
      </c>
      <c r="E15" s="96"/>
      <c r="F15" s="92" t="s">
        <v>56</v>
      </c>
      <c r="G15" s="98"/>
      <c r="H15" s="94">
        <f>aSIFSTIME_H</f>
        <v>1E-05</v>
      </c>
      <c r="I15" s="94">
        <f aca="true" t="shared" si="4" ref="I15:I20">I14+H15</f>
        <v>0.003438272763636364</v>
      </c>
      <c r="J15" s="96"/>
      <c r="K15" s="92" t="s">
        <v>85</v>
      </c>
      <c r="L15" s="98">
        <f>Preamble___PLCP</f>
        <v>616</v>
      </c>
      <c r="M15" s="94">
        <f>L15/bitspersecH</f>
        <v>2.8E-05</v>
      </c>
      <c r="N15" s="94">
        <f t="shared" si="2"/>
        <v>0.003455454563636363</v>
      </c>
      <c r="O15" s="96"/>
    </row>
    <row r="16" spans="1:15" ht="12.75">
      <c r="A16" s="92" t="s">
        <v>85</v>
      </c>
      <c r="B16" s="98">
        <f>Preamble___PLCP</f>
        <v>616</v>
      </c>
      <c r="C16" s="94">
        <f>B16/bitspersecH</f>
        <v>2.8E-05</v>
      </c>
      <c r="D16" s="97">
        <f t="shared" si="3"/>
        <v>0.0034662727636363636</v>
      </c>
      <c r="E16" s="96"/>
      <c r="F16" s="92" t="s">
        <v>85</v>
      </c>
      <c r="G16" s="98">
        <f>Preamble___PLCP</f>
        <v>616</v>
      </c>
      <c r="H16" s="94">
        <f>G16/bitspersecH</f>
        <v>2.8E-05</v>
      </c>
      <c r="I16" s="94">
        <f t="shared" si="4"/>
        <v>0.0034662727636363636</v>
      </c>
      <c r="J16" s="96"/>
      <c r="K16" s="92" t="s">
        <v>166</v>
      </c>
      <c r="L16" s="98">
        <f>MacPayLdHdr_H+(PktsperSlotCycle*CRC_OvrHd_H)</f>
        <v>64</v>
      </c>
      <c r="M16" s="94">
        <f>L16/bitspersecH</f>
        <v>2.9090909090909093E-06</v>
      </c>
      <c r="N16" s="94">
        <f>N15+M16+((PktsperSlotCycle*Async__Payload*8)/bitspersecH)</f>
        <v>0.005110000018181817</v>
      </c>
      <c r="O16" s="100"/>
    </row>
    <row r="17" spans="1:15" ht="12.75">
      <c r="A17" s="92" t="s">
        <v>61</v>
      </c>
      <c r="B17" s="98">
        <f>ACK</f>
        <v>78</v>
      </c>
      <c r="C17" s="94">
        <f>B17/bitspersecH</f>
        <v>3.5454545454545454E-06</v>
      </c>
      <c r="D17" s="97">
        <f t="shared" si="3"/>
        <v>0.003469818218181818</v>
      </c>
      <c r="E17" s="96"/>
      <c r="F17" s="92" t="s">
        <v>167</v>
      </c>
      <c r="G17" s="98">
        <f>ACK</f>
        <v>78</v>
      </c>
      <c r="H17" s="94">
        <f>G17/bitspersecH</f>
        <v>3.5454545454545454E-06</v>
      </c>
      <c r="I17" s="94">
        <f t="shared" si="4"/>
        <v>0.003469818218181818</v>
      </c>
      <c r="J17" s="96"/>
      <c r="K17" s="92" t="s">
        <v>56</v>
      </c>
      <c r="L17" s="98"/>
      <c r="M17" s="94">
        <f>aSIFSTIME_H</f>
        <v>1E-05</v>
      </c>
      <c r="N17" s="94">
        <f aca="true" t="shared" si="5" ref="N17:N22">N16+M17</f>
        <v>0.005120000018181817</v>
      </c>
      <c r="O17" s="96"/>
    </row>
    <row r="18" spans="1:15" ht="12.75">
      <c r="A18" s="99" t="s">
        <v>313</v>
      </c>
      <c r="B18" s="93"/>
      <c r="C18" s="94">
        <f>Mslot__Time</f>
        <v>5.8182E-06</v>
      </c>
      <c r="D18" s="97">
        <f t="shared" si="3"/>
        <v>0.003475636418181818</v>
      </c>
      <c r="E18" s="96"/>
      <c r="F18" s="99" t="s">
        <v>313</v>
      </c>
      <c r="G18" s="93"/>
      <c r="H18" s="94">
        <f>Mslot__Time</f>
        <v>5.8182E-06</v>
      </c>
      <c r="I18" s="94">
        <f t="shared" si="4"/>
        <v>0.003475636418181818</v>
      </c>
      <c r="J18" s="96"/>
      <c r="K18" s="92" t="s">
        <v>85</v>
      </c>
      <c r="L18" s="98">
        <f>Preamble___PLCP</f>
        <v>616</v>
      </c>
      <c r="M18" s="94">
        <f>L18/bitspersecH</f>
        <v>2.8E-05</v>
      </c>
      <c r="N18" s="94">
        <f t="shared" si="5"/>
        <v>0.005148000018181817</v>
      </c>
      <c r="O18" s="96"/>
    </row>
    <row r="19" spans="1:15" ht="12.75">
      <c r="A19" s="92" t="s">
        <v>162</v>
      </c>
      <c r="B19" s="93"/>
      <c r="C19" s="94">
        <f>RxTx_time</f>
        <v>5E-06</v>
      </c>
      <c r="D19" s="97">
        <f t="shared" si="3"/>
        <v>0.003480636418181818</v>
      </c>
      <c r="E19" s="96"/>
      <c r="F19" s="92" t="s">
        <v>162</v>
      </c>
      <c r="G19" s="93"/>
      <c r="H19" s="94">
        <f>RxTx_time</f>
        <v>5E-06</v>
      </c>
      <c r="I19" s="94">
        <f t="shared" si="4"/>
        <v>0.003480636418181818</v>
      </c>
      <c r="J19" s="96"/>
      <c r="K19" s="92" t="s">
        <v>167</v>
      </c>
      <c r="L19" s="98">
        <f>ACK</f>
        <v>78</v>
      </c>
      <c r="M19" s="94">
        <f>L19/bitspersecH</f>
        <v>3.5454545454545454E-06</v>
      </c>
      <c r="N19" s="94">
        <f t="shared" si="5"/>
        <v>0.005151545472727272</v>
      </c>
      <c r="O19" s="96"/>
    </row>
    <row r="20" spans="1:15" ht="12.75">
      <c r="A20" s="92" t="s">
        <v>85</v>
      </c>
      <c r="B20" s="98">
        <f>Preamble___PLCP</f>
        <v>616</v>
      </c>
      <c r="C20" s="94">
        <f>B20/bitspersecH</f>
        <v>2.8E-05</v>
      </c>
      <c r="D20" s="97">
        <f t="shared" si="3"/>
        <v>0.0035086364181818176</v>
      </c>
      <c r="E20" s="96"/>
      <c r="F20" s="92" t="s">
        <v>85</v>
      </c>
      <c r="G20" s="98">
        <f>Preamble___PLCP</f>
        <v>616</v>
      </c>
      <c r="H20" s="94">
        <f>G20/bitspersecH</f>
        <v>2.8E-05</v>
      </c>
      <c r="I20" s="94">
        <f t="shared" si="4"/>
        <v>0.0035086364181818176</v>
      </c>
      <c r="J20" s="96"/>
      <c r="K20" s="99" t="s">
        <v>313</v>
      </c>
      <c r="L20" s="93"/>
      <c r="M20" s="94">
        <f>Mslot__Time</f>
        <v>5.8182E-06</v>
      </c>
      <c r="N20" s="94">
        <f>N19+M20</f>
        <v>0.005157363672727272</v>
      </c>
      <c r="O20" s="96"/>
    </row>
    <row r="21" spans="1:15" ht="12.75">
      <c r="A21" s="92" t="s">
        <v>62</v>
      </c>
      <c r="B21" s="98">
        <f>MacPayLdHdr_H+(PktsperSlotCycle*CRC_OvrHd_H)</f>
        <v>64</v>
      </c>
      <c r="C21" s="94">
        <f>B21/bitspersecH</f>
        <v>2.9090909090909093E-06</v>
      </c>
      <c r="D21" s="94">
        <f>D20+C21+((PktsperSlotCycle*Async__Payload*8)/bitspersecH)</f>
        <v>0.005163181872727272</v>
      </c>
      <c r="E21" s="96"/>
      <c r="F21" s="92" t="s">
        <v>168</v>
      </c>
      <c r="G21" s="98">
        <f>MacPayLdHdr_H+(PktsperSlotCycle*CRC_OvrHd_H)</f>
        <v>64</v>
      </c>
      <c r="H21" s="94">
        <f>G21/bitspersecH</f>
        <v>2.9090909090909093E-06</v>
      </c>
      <c r="I21" s="94">
        <f>I20+H21+((PktsperSlotCycle*Async__Payload*8)/bitspersecH)</f>
        <v>0.005163181872727272</v>
      </c>
      <c r="J21" s="100"/>
      <c r="K21" s="92" t="s">
        <v>162</v>
      </c>
      <c r="L21" s="93"/>
      <c r="M21" s="94">
        <f>RxTx_time</f>
        <v>5E-06</v>
      </c>
      <c r="N21" s="94">
        <f t="shared" si="5"/>
        <v>0.005162363672727272</v>
      </c>
      <c r="O21" s="100"/>
    </row>
    <row r="22" spans="1:15" ht="12.75">
      <c r="A22" s="92" t="s">
        <v>56</v>
      </c>
      <c r="B22" s="98"/>
      <c r="C22" s="94">
        <f>aSIFSTIME_H</f>
        <v>1E-05</v>
      </c>
      <c r="D22" s="97">
        <f aca="true" t="shared" si="6" ref="D22:D27">C22+D21</f>
        <v>0.005173181872727271</v>
      </c>
      <c r="E22" s="96"/>
      <c r="F22" s="92" t="s">
        <v>56</v>
      </c>
      <c r="G22" s="98"/>
      <c r="H22" s="94">
        <f>aSIFSTIME_H</f>
        <v>1E-05</v>
      </c>
      <c r="I22" s="94">
        <f aca="true" t="shared" si="7" ref="I22:I27">I21+H22</f>
        <v>0.005173181872727271</v>
      </c>
      <c r="J22" s="96"/>
      <c r="K22" s="92" t="s">
        <v>85</v>
      </c>
      <c r="L22" s="98">
        <f>Preamble___PLCP</f>
        <v>616</v>
      </c>
      <c r="M22" s="94">
        <f>L22/bitspersecH</f>
        <v>2.8E-05</v>
      </c>
      <c r="N22" s="94">
        <f t="shared" si="5"/>
        <v>0.005190363672727272</v>
      </c>
      <c r="O22" s="96"/>
    </row>
    <row r="23" spans="1:15" ht="12.75">
      <c r="A23" s="92" t="s">
        <v>85</v>
      </c>
      <c r="B23" s="98">
        <f>Preamble___PLCP</f>
        <v>616</v>
      </c>
      <c r="C23" s="94">
        <f>B23/bitspersecH</f>
        <v>2.8E-05</v>
      </c>
      <c r="D23" s="97">
        <f t="shared" si="6"/>
        <v>0.0052011818727272716</v>
      </c>
      <c r="E23" s="96"/>
      <c r="F23" s="92" t="s">
        <v>85</v>
      </c>
      <c r="G23" s="98">
        <f>Preamble___PLCP</f>
        <v>616</v>
      </c>
      <c r="H23" s="94">
        <f>G23/bitspersecH</f>
        <v>2.8E-05</v>
      </c>
      <c r="I23" s="94">
        <f t="shared" si="7"/>
        <v>0.0052011818727272716</v>
      </c>
      <c r="J23" s="96"/>
      <c r="K23" s="92" t="s">
        <v>168</v>
      </c>
      <c r="L23" s="98">
        <f>MacPayLdHdr_H+(PktsperSlotCycle*CRC_OvrHd_H)</f>
        <v>64</v>
      </c>
      <c r="M23" s="94">
        <f>L23/bitspersecH</f>
        <v>2.9090909090909093E-06</v>
      </c>
      <c r="N23" s="94">
        <f>N22+M23+((PktsperSlotCycle*Async__Payload*8)/bitspersecH)</f>
        <v>0.006844909127272727</v>
      </c>
      <c r="O23" s="96"/>
    </row>
    <row r="24" spans="1:15" ht="12.75">
      <c r="A24" s="92" t="s">
        <v>63</v>
      </c>
      <c r="B24" s="98">
        <f>ACK</f>
        <v>78</v>
      </c>
      <c r="C24" s="94">
        <f>B24/bitspersecH</f>
        <v>3.5454545454545454E-06</v>
      </c>
      <c r="D24" s="97">
        <f t="shared" si="6"/>
        <v>0.005204727327272726</v>
      </c>
      <c r="E24" s="96"/>
      <c r="F24" s="92" t="s">
        <v>169</v>
      </c>
      <c r="G24" s="98">
        <f>ACK</f>
        <v>78</v>
      </c>
      <c r="H24" s="94">
        <f>G24/bitspersecH</f>
        <v>3.5454545454545454E-06</v>
      </c>
      <c r="I24" s="94">
        <f t="shared" si="7"/>
        <v>0.005204727327272726</v>
      </c>
      <c r="J24" s="96"/>
      <c r="K24" s="92" t="s">
        <v>56</v>
      </c>
      <c r="L24" s="98"/>
      <c r="M24" s="94">
        <f>aSIFSTIME_H</f>
        <v>1E-05</v>
      </c>
      <c r="N24" s="94">
        <f>N23+M24</f>
        <v>0.006854909127272726</v>
      </c>
      <c r="O24" s="96"/>
    </row>
    <row r="25" spans="1:15" ht="12.75">
      <c r="A25" s="99" t="s">
        <v>313</v>
      </c>
      <c r="B25" s="93"/>
      <c r="C25" s="94">
        <f>Mslot__Time</f>
        <v>5.8182E-06</v>
      </c>
      <c r="D25" s="97">
        <f t="shared" si="6"/>
        <v>0.005210545527272727</v>
      </c>
      <c r="E25" s="96"/>
      <c r="F25" s="99" t="s">
        <v>313</v>
      </c>
      <c r="G25" s="93"/>
      <c r="H25" s="94">
        <f>Mslot__Time</f>
        <v>5.8182E-06</v>
      </c>
      <c r="I25" s="94">
        <f t="shared" si="7"/>
        <v>0.005210545527272727</v>
      </c>
      <c r="J25" s="96"/>
      <c r="K25" s="92" t="s">
        <v>85</v>
      </c>
      <c r="L25" s="98">
        <f>Preamble___PLCP</f>
        <v>616</v>
      </c>
      <c r="M25" s="94">
        <f>L25/bitspersecH</f>
        <v>2.8E-05</v>
      </c>
      <c r="N25" s="94">
        <f>N24+M25</f>
        <v>0.006882909127272727</v>
      </c>
      <c r="O25" s="96"/>
    </row>
    <row r="26" spans="1:15" ht="12.75">
      <c r="A26" s="92" t="s">
        <v>162</v>
      </c>
      <c r="B26" s="93"/>
      <c r="C26" s="94">
        <f>RxTx_time</f>
        <v>5E-06</v>
      </c>
      <c r="D26" s="97">
        <f t="shared" si="6"/>
        <v>0.005215545527272727</v>
      </c>
      <c r="E26" s="96"/>
      <c r="F26" s="92" t="s">
        <v>162</v>
      </c>
      <c r="G26" s="93"/>
      <c r="H26" s="94">
        <f>RxTx_time</f>
        <v>5E-06</v>
      </c>
      <c r="I26" s="94">
        <f t="shared" si="7"/>
        <v>0.005215545527272727</v>
      </c>
      <c r="J26" s="96"/>
      <c r="K26" s="92" t="s">
        <v>169</v>
      </c>
      <c r="L26" s="98">
        <f>ACK</f>
        <v>78</v>
      </c>
      <c r="M26" s="94">
        <f>L26/bitspersecH</f>
        <v>3.5454545454545454E-06</v>
      </c>
      <c r="N26" s="94">
        <f>N25+M26</f>
        <v>0.0068864545818181815</v>
      </c>
      <c r="O26" s="96"/>
    </row>
    <row r="27" spans="1:15" ht="12.75">
      <c r="A27" s="92" t="s">
        <v>85</v>
      </c>
      <c r="B27" s="98">
        <f>Preamble___PLCP</f>
        <v>616</v>
      </c>
      <c r="C27" s="94">
        <f>B27/bitspersecH</f>
        <v>2.8E-05</v>
      </c>
      <c r="D27" s="97">
        <f t="shared" si="6"/>
        <v>0.005243545527272727</v>
      </c>
      <c r="E27" s="96"/>
      <c r="F27" s="92" t="s">
        <v>85</v>
      </c>
      <c r="G27" s="98">
        <f>Preamble___PLCP</f>
        <v>616</v>
      </c>
      <c r="H27" s="94">
        <f>G27/bitspersecH</f>
        <v>2.8E-05</v>
      </c>
      <c r="I27" s="94">
        <f t="shared" si="7"/>
        <v>0.005243545527272727</v>
      </c>
      <c r="J27" s="96"/>
      <c r="K27" s="92" t="s">
        <v>162</v>
      </c>
      <c r="L27" s="93"/>
      <c r="M27" s="94">
        <f>RxTx_time</f>
        <v>5E-06</v>
      </c>
      <c r="N27" s="94">
        <f>N26+M27</f>
        <v>0.006891454581818181</v>
      </c>
      <c r="O27" s="96"/>
    </row>
    <row r="28" spans="1:15" ht="12.75">
      <c r="A28" s="92" t="s">
        <v>65</v>
      </c>
      <c r="B28" s="98">
        <f>MacPayLdHdr_H+(PktsperSlotCycle*CRC_OvrHd_H)</f>
        <v>64</v>
      </c>
      <c r="C28" s="94">
        <f>B28/bitspersecH</f>
        <v>2.9090909090909093E-06</v>
      </c>
      <c r="D28" s="94">
        <f>D27+C28+((PktsperSlotCycle*Async__Payload*8)/bitspersecH)</f>
        <v>0.006898090981818181</v>
      </c>
      <c r="E28" s="96"/>
      <c r="F28" s="92" t="s">
        <v>170</v>
      </c>
      <c r="G28" s="98">
        <f>MacPayLdHdr_H+(PktsperSlotCycle*CRC_OvrHd_H)</f>
        <v>64</v>
      </c>
      <c r="H28" s="94">
        <f>G28/bitspersecH</f>
        <v>2.9090909090909093E-06</v>
      </c>
      <c r="I28" s="94">
        <f>I27+H28+((PktsperSlotCycle*Async__Payload*8)/bitspersecH)</f>
        <v>0.006898090981818181</v>
      </c>
      <c r="J28" s="96"/>
      <c r="K28" s="92" t="s">
        <v>85</v>
      </c>
      <c r="L28" s="98">
        <f>Preamble___PLCP</f>
        <v>616</v>
      </c>
      <c r="M28" s="94">
        <f>L28/bitspersecH</f>
        <v>2.8E-05</v>
      </c>
      <c r="N28" s="94">
        <f>N27+M28</f>
        <v>0.0069194545818181815</v>
      </c>
      <c r="O28" s="96"/>
    </row>
    <row r="29" spans="1:15" ht="12.75">
      <c r="A29" s="92" t="s">
        <v>56</v>
      </c>
      <c r="B29" s="98"/>
      <c r="C29" s="94">
        <f>aSIFSTIME_H</f>
        <v>1E-05</v>
      </c>
      <c r="D29" s="97">
        <f aca="true" t="shared" si="8" ref="D29:D34">C29+D28</f>
        <v>0.006908090981818181</v>
      </c>
      <c r="E29" s="96"/>
      <c r="F29" s="92" t="s">
        <v>56</v>
      </c>
      <c r="G29" s="98"/>
      <c r="H29" s="94">
        <f>aSIFSTIME_H</f>
        <v>1E-05</v>
      </c>
      <c r="I29" s="94">
        <f aca="true" t="shared" si="9" ref="I29:I34">I28+H29</f>
        <v>0.006908090981818181</v>
      </c>
      <c r="J29" s="96"/>
      <c r="K29" s="99" t="s">
        <v>171</v>
      </c>
      <c r="L29" s="98">
        <f>MacPayLdHdr_H+(PktsperSlotCycle*CRC_OvrHd_H)</f>
        <v>64</v>
      </c>
      <c r="M29" s="94">
        <f>L29/bitspersecH</f>
        <v>2.9090909090909093E-06</v>
      </c>
      <c r="N29" s="94">
        <f>N28+M29+((PktsperSlotCycle*Isoc__Payload*8)/bitspersecH)</f>
        <v>0.008574000036363636</v>
      </c>
      <c r="O29" s="96"/>
    </row>
    <row r="30" spans="1:15" ht="12.75">
      <c r="A30" s="92" t="s">
        <v>85</v>
      </c>
      <c r="B30" s="98">
        <f>Preamble___PLCP</f>
        <v>616</v>
      </c>
      <c r="C30" s="94">
        <f>B30/bitspersecH</f>
        <v>2.8E-05</v>
      </c>
      <c r="D30" s="97">
        <f t="shared" si="8"/>
        <v>0.006936090981818181</v>
      </c>
      <c r="E30" s="96"/>
      <c r="F30" s="92" t="s">
        <v>85</v>
      </c>
      <c r="G30" s="98">
        <f>Preamble___PLCP</f>
        <v>616</v>
      </c>
      <c r="H30" s="94">
        <f>G30/bitspersecH</f>
        <v>2.8E-05</v>
      </c>
      <c r="I30" s="94">
        <f t="shared" si="9"/>
        <v>0.006936090981818181</v>
      </c>
      <c r="J30" s="96"/>
      <c r="K30" s="92" t="s">
        <v>162</v>
      </c>
      <c r="L30" s="93"/>
      <c r="M30" s="94">
        <f>RxTx_time</f>
        <v>5E-06</v>
      </c>
      <c r="N30" s="94">
        <f>N29+M30</f>
        <v>0.008579000036363636</v>
      </c>
      <c r="O30" s="96"/>
    </row>
    <row r="31" spans="1:15" ht="12.75">
      <c r="A31" s="92" t="s">
        <v>66</v>
      </c>
      <c r="B31" s="98">
        <f>ACK</f>
        <v>78</v>
      </c>
      <c r="C31" s="94">
        <f>B31/bitspersecH</f>
        <v>3.5454545454545454E-06</v>
      </c>
      <c r="D31" s="97">
        <f t="shared" si="8"/>
        <v>0.006939636436363636</v>
      </c>
      <c r="E31" s="96"/>
      <c r="F31" s="92" t="s">
        <v>165</v>
      </c>
      <c r="G31" s="98">
        <f>ACK</f>
        <v>78</v>
      </c>
      <c r="H31" s="94">
        <f>G31/bitspersecH</f>
        <v>3.5454545454545454E-06</v>
      </c>
      <c r="I31" s="94">
        <f t="shared" si="9"/>
        <v>0.006939636436363636</v>
      </c>
      <c r="J31" s="96"/>
      <c r="K31" s="92" t="s">
        <v>85</v>
      </c>
      <c r="L31" s="98">
        <f>Preamble___PLCP</f>
        <v>616</v>
      </c>
      <c r="M31" s="94">
        <f>L31/bitspersecH</f>
        <v>2.8E-05</v>
      </c>
      <c r="N31" s="94">
        <f>N30+M31</f>
        <v>0.008607000036363636</v>
      </c>
      <c r="O31" s="96"/>
    </row>
    <row r="32" spans="1:15" ht="12.75">
      <c r="A32" s="99" t="s">
        <v>313</v>
      </c>
      <c r="B32" s="93"/>
      <c r="C32" s="94">
        <f>Mslot__Time</f>
        <v>5.8182E-06</v>
      </c>
      <c r="D32" s="97">
        <f t="shared" si="8"/>
        <v>0.0069454546363636365</v>
      </c>
      <c r="E32" s="96"/>
      <c r="F32" s="99" t="s">
        <v>313</v>
      </c>
      <c r="G32" s="93"/>
      <c r="H32" s="94">
        <f>Mslot__Time</f>
        <v>5.8182E-06</v>
      </c>
      <c r="I32" s="94">
        <f t="shared" si="9"/>
        <v>0.0069454546363636365</v>
      </c>
      <c r="J32" s="96"/>
      <c r="K32" s="92" t="s">
        <v>172</v>
      </c>
      <c r="L32" s="98">
        <f>MacPayLdHdr_H+(PktsperSlotCycle*CRC_OvrHd_H)</f>
        <v>64</v>
      </c>
      <c r="M32" s="94">
        <f>L32/bitspersecH</f>
        <v>2.9090909090909093E-06</v>
      </c>
      <c r="N32" s="94">
        <f>N31+M32+((PktsperSlotCycle*Async__Payload*8)/bitspersecH)</f>
        <v>0.010261545490909092</v>
      </c>
      <c r="O32" s="100"/>
    </row>
    <row r="33" spans="1:15" ht="12.75">
      <c r="A33" s="92" t="s">
        <v>162</v>
      </c>
      <c r="B33" s="93"/>
      <c r="C33" s="94">
        <f>RxTx_time</f>
        <v>5E-06</v>
      </c>
      <c r="D33" s="97">
        <f t="shared" si="8"/>
        <v>0.006950454636363636</v>
      </c>
      <c r="E33" s="96"/>
      <c r="F33" s="92" t="s">
        <v>162</v>
      </c>
      <c r="G33" s="93"/>
      <c r="H33" s="94">
        <f>RxTx_time</f>
        <v>5E-06</v>
      </c>
      <c r="I33" s="94">
        <f t="shared" si="9"/>
        <v>0.006950454636363636</v>
      </c>
      <c r="J33" s="96"/>
      <c r="K33" s="92" t="s">
        <v>56</v>
      </c>
      <c r="L33" s="98"/>
      <c r="M33" s="94">
        <f>aSIFSTIME_H</f>
        <v>1E-05</v>
      </c>
      <c r="N33" s="94">
        <f aca="true" t="shared" si="10" ref="N33:N95">N32+M33</f>
        <v>0.010271545490909091</v>
      </c>
      <c r="O33" s="96"/>
    </row>
    <row r="34" spans="1:15" ht="12.75">
      <c r="A34" s="92" t="s">
        <v>85</v>
      </c>
      <c r="B34" s="98">
        <f>Preamble___PLCP</f>
        <v>616</v>
      </c>
      <c r="C34" s="94">
        <f>B34/bitspersecH</f>
        <v>2.8E-05</v>
      </c>
      <c r="D34" s="97">
        <f t="shared" si="8"/>
        <v>0.0069784546363636365</v>
      </c>
      <c r="E34" s="96"/>
      <c r="F34" s="92" t="s">
        <v>85</v>
      </c>
      <c r="G34" s="98">
        <f>Preamble___PLCP</f>
        <v>616</v>
      </c>
      <c r="H34" s="94">
        <f>G34/bitspersecH</f>
        <v>2.8E-05</v>
      </c>
      <c r="I34" s="94">
        <f t="shared" si="9"/>
        <v>0.0069784546363636365</v>
      </c>
      <c r="J34" s="96"/>
      <c r="K34" s="92" t="s">
        <v>85</v>
      </c>
      <c r="L34" s="98">
        <f>Preamble___PLCP</f>
        <v>616</v>
      </c>
      <c r="M34" s="94">
        <f>L34/bitspersecH</f>
        <v>2.8E-05</v>
      </c>
      <c r="N34" s="94">
        <f t="shared" si="10"/>
        <v>0.010299545490909091</v>
      </c>
      <c r="O34" s="96"/>
    </row>
    <row r="35" spans="1:15" ht="12.75">
      <c r="A35" s="92" t="s">
        <v>67</v>
      </c>
      <c r="B35" s="98">
        <f>MacPayLdHdr_H+(PktsperSlotCycle*CRC_OvrHd_H)</f>
        <v>64</v>
      </c>
      <c r="C35" s="94">
        <f>B35/bitspersecH</f>
        <v>2.9090909090909093E-06</v>
      </c>
      <c r="D35" s="94">
        <f>D34+C35+((PktsperSlotCycle*Async__Payload*8)/bitspersecH)</f>
        <v>0.008633000090909091</v>
      </c>
      <c r="E35" s="96"/>
      <c r="F35" s="92" t="s">
        <v>172</v>
      </c>
      <c r="G35" s="98">
        <f>MacPayLdHdr_H+(PktsperSlotCycle*CRC_OvrHd_H)</f>
        <v>64</v>
      </c>
      <c r="H35" s="94">
        <f>G35/bitspersecH</f>
        <v>2.9090909090909093E-06</v>
      </c>
      <c r="I35" s="94">
        <f>I34+H35+((PktsperSlotCycle*Async__Payload*8)/bitspersecH)</f>
        <v>0.008633000090909091</v>
      </c>
      <c r="J35" s="96"/>
      <c r="K35" s="92" t="s">
        <v>167</v>
      </c>
      <c r="L35" s="98">
        <f>ACK</f>
        <v>78</v>
      </c>
      <c r="M35" s="94">
        <f>L35/bitspersecH</f>
        <v>3.5454545454545454E-06</v>
      </c>
      <c r="N35" s="94">
        <f t="shared" si="10"/>
        <v>0.010303090945454545</v>
      </c>
      <c r="O35" s="96"/>
    </row>
    <row r="36" spans="1:15" ht="12.75">
      <c r="A36" s="92" t="s">
        <v>56</v>
      </c>
      <c r="B36" s="98"/>
      <c r="C36" s="94">
        <f>aSIFSTIME_H</f>
        <v>1E-05</v>
      </c>
      <c r="D36" s="97">
        <f aca="true" t="shared" si="11" ref="D36:D41">C36+D35</f>
        <v>0.00864300009090909</v>
      </c>
      <c r="E36" s="96"/>
      <c r="F36" s="92" t="s">
        <v>56</v>
      </c>
      <c r="G36" s="98"/>
      <c r="H36" s="94">
        <f>aSIFSTIME_H</f>
        <v>1E-05</v>
      </c>
      <c r="I36" s="94">
        <f aca="true" t="shared" si="12" ref="I36:I41">I35+H36</f>
        <v>0.00864300009090909</v>
      </c>
      <c r="J36" s="96"/>
      <c r="K36" s="99" t="s">
        <v>313</v>
      </c>
      <c r="L36" s="93"/>
      <c r="M36" s="94">
        <f>Mslot__Time</f>
        <v>5.8182E-06</v>
      </c>
      <c r="N36" s="94">
        <f t="shared" si="10"/>
        <v>0.010308909145454546</v>
      </c>
      <c r="O36" s="96"/>
    </row>
    <row r="37" spans="1:15" ht="12.75">
      <c r="A37" s="92" t="s">
        <v>85</v>
      </c>
      <c r="B37" s="98">
        <f>Preamble___PLCP</f>
        <v>616</v>
      </c>
      <c r="C37" s="94">
        <f>B37/bitspersecH</f>
        <v>2.8E-05</v>
      </c>
      <c r="D37" s="97">
        <f t="shared" si="11"/>
        <v>0.008671000090909091</v>
      </c>
      <c r="E37" s="96"/>
      <c r="F37" s="92" t="s">
        <v>85</v>
      </c>
      <c r="G37" s="98">
        <f>Preamble___PLCP</f>
        <v>616</v>
      </c>
      <c r="H37" s="94">
        <f>G37/bitspersecH</f>
        <v>2.8E-05</v>
      </c>
      <c r="I37" s="94">
        <f t="shared" si="12"/>
        <v>0.008671000090909091</v>
      </c>
      <c r="J37" s="96"/>
      <c r="K37" s="92" t="s">
        <v>162</v>
      </c>
      <c r="L37" s="93"/>
      <c r="M37" s="94">
        <f>RxTx_time</f>
        <v>5E-06</v>
      </c>
      <c r="N37" s="94">
        <f t="shared" si="10"/>
        <v>0.010313909145454546</v>
      </c>
      <c r="O37" s="100"/>
    </row>
    <row r="38" spans="1:15" ht="12.75">
      <c r="A38" s="92" t="s">
        <v>68</v>
      </c>
      <c r="B38" s="98">
        <f>ACK</f>
        <v>78</v>
      </c>
      <c r="C38" s="94">
        <f>B38/bitspersecH</f>
        <v>3.5454545454545454E-06</v>
      </c>
      <c r="D38" s="97">
        <f t="shared" si="11"/>
        <v>0.008674545545454545</v>
      </c>
      <c r="E38" s="96"/>
      <c r="F38" s="92" t="s">
        <v>167</v>
      </c>
      <c r="G38" s="98">
        <f>ACK</f>
        <v>78</v>
      </c>
      <c r="H38" s="94">
        <f>G38/bitspersecH</f>
        <v>3.5454545454545454E-06</v>
      </c>
      <c r="I38" s="94">
        <f t="shared" si="12"/>
        <v>0.008674545545454545</v>
      </c>
      <c r="J38" s="96"/>
      <c r="K38" s="92" t="s">
        <v>85</v>
      </c>
      <c r="L38" s="98">
        <f>Preamble___PLCP</f>
        <v>616</v>
      </c>
      <c r="M38" s="94">
        <f>L38/bitspersecH</f>
        <v>2.8E-05</v>
      </c>
      <c r="N38" s="94">
        <f t="shared" si="10"/>
        <v>0.010341909145454546</v>
      </c>
      <c r="O38" s="96"/>
    </row>
    <row r="39" spans="1:15" ht="12.75">
      <c r="A39" s="99" t="s">
        <v>313</v>
      </c>
      <c r="B39" s="93"/>
      <c r="C39" s="94">
        <f>Mslot__Time</f>
        <v>5.8182E-06</v>
      </c>
      <c r="D39" s="97">
        <f t="shared" si="11"/>
        <v>0.008680363745454545</v>
      </c>
      <c r="E39" s="96"/>
      <c r="F39" s="99" t="s">
        <v>313</v>
      </c>
      <c r="G39" s="93"/>
      <c r="H39" s="94">
        <f>Mslot__Time</f>
        <v>5.8182E-06</v>
      </c>
      <c r="I39" s="94">
        <f t="shared" si="12"/>
        <v>0.008680363745454545</v>
      </c>
      <c r="J39" s="96"/>
      <c r="K39" s="92" t="s">
        <v>173</v>
      </c>
      <c r="L39" s="98">
        <f>MacPayLdHdr_H+(PktsperSlotCycle*CRC_OvrHd_H)</f>
        <v>64</v>
      </c>
      <c r="M39" s="94">
        <f>L39/bitspersecH</f>
        <v>2.9090909090909093E-06</v>
      </c>
      <c r="N39" s="94">
        <f>N38+M39+((PktsperSlotCycle*Async__Payload*8)/bitspersecH)</f>
        <v>0.011996454600000001</v>
      </c>
      <c r="O39" s="100"/>
    </row>
    <row r="40" spans="1:15" ht="12.75">
      <c r="A40" s="92" t="s">
        <v>162</v>
      </c>
      <c r="B40" s="93"/>
      <c r="C40" s="94">
        <f>RxTx_time</f>
        <v>5E-06</v>
      </c>
      <c r="D40" s="97">
        <f t="shared" si="11"/>
        <v>0.008685363745454545</v>
      </c>
      <c r="E40" s="96"/>
      <c r="F40" s="92" t="s">
        <v>162</v>
      </c>
      <c r="G40" s="93"/>
      <c r="H40" s="94">
        <f>RxTx_time</f>
        <v>5E-06</v>
      </c>
      <c r="I40" s="94">
        <f t="shared" si="12"/>
        <v>0.008685363745454545</v>
      </c>
      <c r="J40" s="96"/>
      <c r="K40" s="92" t="s">
        <v>56</v>
      </c>
      <c r="L40" s="98"/>
      <c r="M40" s="94">
        <f>aSIFSTIME_H</f>
        <v>1E-05</v>
      </c>
      <c r="N40" s="94">
        <f t="shared" si="10"/>
        <v>0.0120064546</v>
      </c>
      <c r="O40" s="96"/>
    </row>
    <row r="41" spans="1:15" ht="12.75">
      <c r="A41" s="92" t="s">
        <v>85</v>
      </c>
      <c r="B41" s="98">
        <f>Preamble___PLCP</f>
        <v>616</v>
      </c>
      <c r="C41" s="94">
        <f>B41/bitspersecH</f>
        <v>2.8E-05</v>
      </c>
      <c r="D41" s="97">
        <f t="shared" si="11"/>
        <v>0.008713363745454545</v>
      </c>
      <c r="E41" s="96"/>
      <c r="F41" s="92" t="s">
        <v>85</v>
      </c>
      <c r="G41" s="98">
        <f>Preamble___PLCP</f>
        <v>616</v>
      </c>
      <c r="H41" s="94">
        <f>G41/bitspersecH</f>
        <v>2.8E-05</v>
      </c>
      <c r="I41" s="94">
        <f t="shared" si="12"/>
        <v>0.008713363745454545</v>
      </c>
      <c r="J41" s="96"/>
      <c r="K41" s="92" t="s">
        <v>85</v>
      </c>
      <c r="L41" s="98">
        <f>Preamble___PLCP</f>
        <v>616</v>
      </c>
      <c r="M41" s="94">
        <f>L41/bitspersecH</f>
        <v>2.8E-05</v>
      </c>
      <c r="N41" s="94">
        <f t="shared" si="10"/>
        <v>0.012034454600000001</v>
      </c>
      <c r="O41" s="96"/>
    </row>
    <row r="42" spans="1:15" ht="12.75">
      <c r="A42" s="92" t="s">
        <v>69</v>
      </c>
      <c r="B42" s="98">
        <f>MacPayLdHdr_H+(PktsperSlotCycle*CRC_OvrHd_H)</f>
        <v>64</v>
      </c>
      <c r="C42" s="94">
        <f>B42/bitspersecH</f>
        <v>2.9090909090909093E-06</v>
      </c>
      <c r="D42" s="94">
        <f>D41+C42+((PktsperSlotCycle*Async__Payload*8)/bitspersecH)</f>
        <v>0.0103679092</v>
      </c>
      <c r="E42" s="96"/>
      <c r="F42" s="92" t="s">
        <v>173</v>
      </c>
      <c r="G42" s="98">
        <f>MacPayLdHdr_H+(PktsperSlotCycle*CRC_OvrHd_H)</f>
        <v>64</v>
      </c>
      <c r="H42" s="94">
        <f>G42/bitspersecH</f>
        <v>2.9090909090909093E-06</v>
      </c>
      <c r="I42" s="94">
        <f>I41+H42+((PktsperSlotCycle*Async__Payload*8)/bitspersecH)</f>
        <v>0.0103679092</v>
      </c>
      <c r="J42" s="96"/>
      <c r="K42" s="92" t="s">
        <v>169</v>
      </c>
      <c r="L42" s="98">
        <f>ACK</f>
        <v>78</v>
      </c>
      <c r="M42" s="94">
        <f>L42/bitspersecH</f>
        <v>3.5454545454545454E-06</v>
      </c>
      <c r="N42" s="94">
        <f t="shared" si="10"/>
        <v>0.012038000054545455</v>
      </c>
      <c r="O42" s="96"/>
    </row>
    <row r="43" spans="1:15" ht="12.75">
      <c r="A43" s="92" t="s">
        <v>56</v>
      </c>
      <c r="B43" s="98"/>
      <c r="C43" s="94">
        <f>aSIFSTIME_H</f>
        <v>1E-05</v>
      </c>
      <c r="D43" s="97">
        <f aca="true" t="shared" si="13" ref="D43:D48">C43+D42</f>
        <v>0.0103779092</v>
      </c>
      <c r="E43" s="96"/>
      <c r="F43" s="92" t="s">
        <v>56</v>
      </c>
      <c r="G43" s="98"/>
      <c r="H43" s="94">
        <f>aSIFSTIME_H</f>
        <v>1E-05</v>
      </c>
      <c r="I43" s="94">
        <f aca="true" t="shared" si="14" ref="I43:I48">I42+H43</f>
        <v>0.0103779092</v>
      </c>
      <c r="J43" s="96"/>
      <c r="K43" s="99" t="s">
        <v>313</v>
      </c>
      <c r="L43" s="93"/>
      <c r="M43" s="94">
        <f>Mslot__Time</f>
        <v>5.8182E-06</v>
      </c>
      <c r="N43" s="94">
        <f t="shared" si="10"/>
        <v>0.012043818254545455</v>
      </c>
      <c r="O43" s="96"/>
    </row>
    <row r="44" spans="1:15" ht="12.75">
      <c r="A44" s="92" t="s">
        <v>85</v>
      </c>
      <c r="B44" s="98">
        <f>Preamble___PLCP</f>
        <v>616</v>
      </c>
      <c r="C44" s="94">
        <f>B44/bitspersecH</f>
        <v>2.8E-05</v>
      </c>
      <c r="D44" s="97">
        <f t="shared" si="13"/>
        <v>0.0104059092</v>
      </c>
      <c r="E44" s="96"/>
      <c r="F44" s="92" t="s">
        <v>85</v>
      </c>
      <c r="G44" s="98">
        <f>Preamble___PLCP</f>
        <v>616</v>
      </c>
      <c r="H44" s="94">
        <f>G44/bitspersecH</f>
        <v>2.8E-05</v>
      </c>
      <c r="I44" s="94">
        <f t="shared" si="14"/>
        <v>0.0104059092</v>
      </c>
      <c r="J44" s="96"/>
      <c r="K44" s="92" t="s">
        <v>162</v>
      </c>
      <c r="L44" s="93"/>
      <c r="M44" s="94">
        <f>RxTx_time</f>
        <v>5E-06</v>
      </c>
      <c r="N44" s="94">
        <f t="shared" si="10"/>
        <v>0.012048818254545455</v>
      </c>
      <c r="O44" s="96"/>
    </row>
    <row r="45" spans="1:15" ht="12.75">
      <c r="A45" s="92" t="s">
        <v>70</v>
      </c>
      <c r="B45" s="98">
        <f>ACK</f>
        <v>78</v>
      </c>
      <c r="C45" s="94">
        <f>B45/bitspersecH</f>
        <v>3.5454545454545454E-06</v>
      </c>
      <c r="D45" s="97">
        <f t="shared" si="13"/>
        <v>0.010409454654545455</v>
      </c>
      <c r="E45" s="96"/>
      <c r="F45" s="92" t="s">
        <v>169</v>
      </c>
      <c r="G45" s="98">
        <f>ACK</f>
        <v>78</v>
      </c>
      <c r="H45" s="94">
        <f>G45/bitspersecH</f>
        <v>3.5454545454545454E-06</v>
      </c>
      <c r="I45" s="94">
        <f t="shared" si="14"/>
        <v>0.010409454654545455</v>
      </c>
      <c r="J45" s="96"/>
      <c r="K45" s="92" t="s">
        <v>85</v>
      </c>
      <c r="L45" s="98">
        <f>Preamble___PLCP</f>
        <v>616</v>
      </c>
      <c r="M45" s="94">
        <f>L45/bitspersecH</f>
        <v>2.8E-05</v>
      </c>
      <c r="N45" s="94">
        <f t="shared" si="10"/>
        <v>0.012076818254545455</v>
      </c>
      <c r="O45" s="96"/>
    </row>
    <row r="46" spans="1:15" ht="12.75">
      <c r="A46" s="99" t="s">
        <v>313</v>
      </c>
      <c r="B46" s="93"/>
      <c r="C46" s="94">
        <f>Mslot__Time</f>
        <v>5.8182E-06</v>
      </c>
      <c r="D46" s="97">
        <f t="shared" si="13"/>
        <v>0.010415272854545455</v>
      </c>
      <c r="E46" s="96"/>
      <c r="F46" s="99" t="s">
        <v>313</v>
      </c>
      <c r="G46" s="93"/>
      <c r="H46" s="94">
        <f>Mslot__Time</f>
        <v>5.8182E-06</v>
      </c>
      <c r="I46" s="94">
        <f t="shared" si="14"/>
        <v>0.010415272854545455</v>
      </c>
      <c r="J46" s="96"/>
      <c r="K46" s="92" t="s">
        <v>174</v>
      </c>
      <c r="L46" s="98">
        <f>MacPayLdHdr_H+(PktsperSlotCycle*CRC_OvrHd_H)</f>
        <v>64</v>
      </c>
      <c r="M46" s="94">
        <f>L46/bitspersecH</f>
        <v>2.9090909090909093E-06</v>
      </c>
      <c r="N46" s="94">
        <f>N45+M46+((PktsperSlotCycle*Async__Payload*8)/bitspersecH)</f>
        <v>0.013731363709090911</v>
      </c>
      <c r="O46" s="96"/>
    </row>
    <row r="47" spans="1:15" ht="12.75">
      <c r="A47" s="92" t="s">
        <v>162</v>
      </c>
      <c r="B47" s="93"/>
      <c r="C47" s="94">
        <f>RxTx_time</f>
        <v>5E-06</v>
      </c>
      <c r="D47" s="97">
        <f t="shared" si="13"/>
        <v>0.010420272854545455</v>
      </c>
      <c r="E47" s="96"/>
      <c r="F47" s="92" t="s">
        <v>162</v>
      </c>
      <c r="G47" s="93"/>
      <c r="H47" s="94">
        <f>RxTx_time</f>
        <v>5E-06</v>
      </c>
      <c r="I47" s="94">
        <f t="shared" si="14"/>
        <v>0.010420272854545455</v>
      </c>
      <c r="J47" s="96"/>
      <c r="K47" s="92" t="s">
        <v>56</v>
      </c>
      <c r="L47" s="98"/>
      <c r="M47" s="94">
        <f>aSIFSTIME_H</f>
        <v>1E-05</v>
      </c>
      <c r="N47" s="94">
        <f t="shared" si="10"/>
        <v>0.01374136370909091</v>
      </c>
      <c r="O47" s="96"/>
    </row>
    <row r="48" spans="1:15" ht="12.75">
      <c r="A48" s="92" t="s">
        <v>85</v>
      </c>
      <c r="B48" s="98">
        <f>Preamble___PLCP</f>
        <v>616</v>
      </c>
      <c r="C48" s="94">
        <f>B48/bitspersecH</f>
        <v>2.8E-05</v>
      </c>
      <c r="D48" s="97">
        <f t="shared" si="13"/>
        <v>0.010448272854545455</v>
      </c>
      <c r="E48" s="96"/>
      <c r="F48" s="92" t="s">
        <v>85</v>
      </c>
      <c r="G48" s="98">
        <f>Preamble___PLCP</f>
        <v>616</v>
      </c>
      <c r="H48" s="94">
        <f>G48/bitspersecH</f>
        <v>2.8E-05</v>
      </c>
      <c r="I48" s="94">
        <f t="shared" si="14"/>
        <v>0.010448272854545455</v>
      </c>
      <c r="J48" s="96"/>
      <c r="K48" s="92" t="s">
        <v>85</v>
      </c>
      <c r="L48" s="98">
        <f>Preamble___PLCP</f>
        <v>616</v>
      </c>
      <c r="M48" s="94">
        <f>L48/bitspersecH</f>
        <v>2.8E-05</v>
      </c>
      <c r="N48" s="94">
        <f t="shared" si="10"/>
        <v>0.01376936370909091</v>
      </c>
      <c r="O48" s="96"/>
    </row>
    <row r="49" spans="1:15" ht="12.75">
      <c r="A49" s="92" t="s">
        <v>71</v>
      </c>
      <c r="B49" s="98">
        <f>MacPayLdHdr_H+(PktsperSlotCycle*CRC_OvrHd_H)</f>
        <v>64</v>
      </c>
      <c r="C49" s="94">
        <f>B49/bitspersecH</f>
        <v>2.9090909090909093E-06</v>
      </c>
      <c r="D49" s="94">
        <f>D48+C49+((PktsperSlotCycle*Async__Payload*8)/bitspersecH)</f>
        <v>0.01210281830909091</v>
      </c>
      <c r="E49" s="96"/>
      <c r="F49" s="92" t="s">
        <v>174</v>
      </c>
      <c r="G49" s="98">
        <f>MacPayLdHdr_H+(PktsperSlotCycle*CRC_OvrHd_H)</f>
        <v>64</v>
      </c>
      <c r="H49" s="94">
        <f>G49/bitspersecH</f>
        <v>2.9090909090909093E-06</v>
      </c>
      <c r="I49" s="94">
        <f>I48+H49+((PktsperSlotCycle*Async__Payload*8)/bitspersecH)</f>
        <v>0.01210281830909091</v>
      </c>
      <c r="J49" s="96"/>
      <c r="K49" s="92" t="s">
        <v>165</v>
      </c>
      <c r="L49" s="98">
        <f>ACK</f>
        <v>78</v>
      </c>
      <c r="M49" s="94">
        <f>L49/bitspersecH</f>
        <v>3.5454545454545454E-06</v>
      </c>
      <c r="N49" s="94">
        <f t="shared" si="10"/>
        <v>0.013772909163636365</v>
      </c>
      <c r="O49" s="96"/>
    </row>
    <row r="50" spans="1:15" ht="12.75">
      <c r="A50" s="92" t="s">
        <v>56</v>
      </c>
      <c r="B50" s="98"/>
      <c r="C50" s="94">
        <f>aSIFSTIME_H</f>
        <v>1E-05</v>
      </c>
      <c r="D50" s="97">
        <f aca="true" t="shared" si="15" ref="D50:D55">C50+D49</f>
        <v>0.01211281830909091</v>
      </c>
      <c r="E50" s="96"/>
      <c r="F50" s="92" t="s">
        <v>56</v>
      </c>
      <c r="G50" s="98"/>
      <c r="H50" s="94">
        <f>aSIFSTIME_H</f>
        <v>1E-05</v>
      </c>
      <c r="I50" s="94">
        <f aca="true" t="shared" si="16" ref="I50:I55">I49+H50</f>
        <v>0.01211281830909091</v>
      </c>
      <c r="J50" s="96"/>
      <c r="K50" s="92" t="s">
        <v>162</v>
      </c>
      <c r="L50" s="93"/>
      <c r="M50" s="94">
        <f>RxTx_time</f>
        <v>5E-06</v>
      </c>
      <c r="N50" s="94">
        <f t="shared" si="10"/>
        <v>0.013777909163636365</v>
      </c>
      <c r="O50" s="96"/>
    </row>
    <row r="51" spans="1:15" ht="12.75">
      <c r="A51" s="92" t="s">
        <v>85</v>
      </c>
      <c r="B51" s="98">
        <f>Preamble___PLCP</f>
        <v>616</v>
      </c>
      <c r="C51" s="94">
        <f>B51/bitspersecH</f>
        <v>2.8E-05</v>
      </c>
      <c r="D51" s="97">
        <f t="shared" si="15"/>
        <v>0.01214081830909091</v>
      </c>
      <c r="E51" s="96"/>
      <c r="F51" s="92" t="s">
        <v>85</v>
      </c>
      <c r="G51" s="98">
        <f>Preamble___PLCP</f>
        <v>616</v>
      </c>
      <c r="H51" s="94">
        <f>G51/bitspersecH</f>
        <v>2.8E-05</v>
      </c>
      <c r="I51" s="94">
        <f t="shared" si="16"/>
        <v>0.01214081830909091</v>
      </c>
      <c r="J51" s="96"/>
      <c r="K51" s="92" t="s">
        <v>85</v>
      </c>
      <c r="L51" s="98">
        <f>Preamble___PLCP</f>
        <v>616</v>
      </c>
      <c r="M51" s="94">
        <f>L51/bitspersecH</f>
        <v>2.8E-05</v>
      </c>
      <c r="N51" s="94">
        <f t="shared" si="10"/>
        <v>0.013805909163636365</v>
      </c>
      <c r="O51" s="96"/>
    </row>
    <row r="52" spans="1:15" ht="12.75">
      <c r="A52" s="92" t="s">
        <v>72</v>
      </c>
      <c r="B52" s="98">
        <f>ACK</f>
        <v>78</v>
      </c>
      <c r="C52" s="94">
        <f>B52/bitspersecH</f>
        <v>3.5454545454545454E-06</v>
      </c>
      <c r="D52" s="97">
        <f t="shared" si="15"/>
        <v>0.012144363763636364</v>
      </c>
      <c r="E52" s="96"/>
      <c r="F52" s="92" t="s">
        <v>165</v>
      </c>
      <c r="G52" s="98">
        <f>ACK</f>
        <v>78</v>
      </c>
      <c r="H52" s="94">
        <f>G52/bitspersecH</f>
        <v>3.5454545454545454E-06</v>
      </c>
      <c r="I52" s="94">
        <f t="shared" si="16"/>
        <v>0.012144363763636364</v>
      </c>
      <c r="J52" s="96"/>
      <c r="K52" s="99" t="s">
        <v>175</v>
      </c>
      <c r="L52" s="98">
        <f>MacPayLdHdr_H+(PktsperSlotCycle*CRC_OvrHd_H)</f>
        <v>64</v>
      </c>
      <c r="M52" s="94">
        <f>L52/bitspersecH</f>
        <v>2.9090909090909093E-06</v>
      </c>
      <c r="N52" s="94">
        <f>N51+M52+((PktsperSlotCycle*Isoc__Payload*8)/bitspersecH)</f>
        <v>0.01546045461818182</v>
      </c>
      <c r="O52" s="96"/>
    </row>
    <row r="53" spans="1:15" ht="12.75">
      <c r="A53" s="99" t="s">
        <v>313</v>
      </c>
      <c r="B53" s="93"/>
      <c r="C53" s="94">
        <f>Mslot__Time</f>
        <v>5.8182E-06</v>
      </c>
      <c r="D53" s="97">
        <f t="shared" si="15"/>
        <v>0.012150181963636365</v>
      </c>
      <c r="E53" s="96"/>
      <c r="F53" s="99" t="s">
        <v>313</v>
      </c>
      <c r="G53" s="93"/>
      <c r="H53" s="94">
        <f>Mslot__Time</f>
        <v>5.8182E-06</v>
      </c>
      <c r="I53" s="94">
        <f t="shared" si="16"/>
        <v>0.012150181963636365</v>
      </c>
      <c r="J53" s="96"/>
      <c r="K53" s="92" t="s">
        <v>162</v>
      </c>
      <c r="L53" s="93"/>
      <c r="M53" s="94">
        <f>RxTx_time</f>
        <v>5E-06</v>
      </c>
      <c r="N53" s="94">
        <f t="shared" si="10"/>
        <v>0.01546545461818182</v>
      </c>
      <c r="O53" s="96"/>
    </row>
    <row r="54" spans="1:15" ht="12.75">
      <c r="A54" s="92" t="s">
        <v>162</v>
      </c>
      <c r="B54" s="93"/>
      <c r="C54" s="94">
        <f>RxTx_time</f>
        <v>5E-06</v>
      </c>
      <c r="D54" s="97">
        <f t="shared" si="15"/>
        <v>0.012155181963636364</v>
      </c>
      <c r="E54" s="96"/>
      <c r="F54" s="92" t="s">
        <v>162</v>
      </c>
      <c r="G54" s="93"/>
      <c r="H54" s="94">
        <f>RxTx_time</f>
        <v>5E-06</v>
      </c>
      <c r="I54" s="94">
        <f t="shared" si="16"/>
        <v>0.012155181963636364</v>
      </c>
      <c r="J54" s="96"/>
      <c r="K54" s="92" t="s">
        <v>85</v>
      </c>
      <c r="L54" s="98">
        <f>Preamble___PLCP</f>
        <v>616</v>
      </c>
      <c r="M54" s="94">
        <f>L54/bitspersecH</f>
        <v>2.8E-05</v>
      </c>
      <c r="N54" s="94">
        <f t="shared" si="10"/>
        <v>0.01549345461818182</v>
      </c>
      <c r="O54" s="96"/>
    </row>
    <row r="55" spans="1:15" ht="12.75">
      <c r="A55" s="92" t="s">
        <v>85</v>
      </c>
      <c r="B55" s="98">
        <f>Preamble___PLCP</f>
        <v>616</v>
      </c>
      <c r="C55" s="94">
        <f>B55/bitspersecH</f>
        <v>2.8E-05</v>
      </c>
      <c r="D55" s="97">
        <f t="shared" si="15"/>
        <v>0.012183181963636365</v>
      </c>
      <c r="E55" s="96"/>
      <c r="F55" s="92" t="s">
        <v>85</v>
      </c>
      <c r="G55" s="98">
        <f>Preamble___PLCP</f>
        <v>616</v>
      </c>
      <c r="H55" s="94">
        <f>G55/bitspersecH</f>
        <v>2.8E-05</v>
      </c>
      <c r="I55" s="94">
        <f t="shared" si="16"/>
        <v>0.012183181963636365</v>
      </c>
      <c r="J55" s="96"/>
      <c r="K55" s="92" t="s">
        <v>176</v>
      </c>
      <c r="L55" s="98">
        <f>MacPayLdHdr_H+(PktsperSlotCycle*CRC_OvrHd_H)</f>
        <v>64</v>
      </c>
      <c r="M55" s="94">
        <f>L55/bitspersecH</f>
        <v>2.9090909090909093E-06</v>
      </c>
      <c r="N55" s="94">
        <f>N54+M55+((PktsperSlotCycle*Async__Payload*8)/bitspersecH)</f>
        <v>0.017148000072727276</v>
      </c>
      <c r="O55" s="96"/>
    </row>
    <row r="56" spans="1:15" ht="12.75">
      <c r="A56" s="92" t="s">
        <v>73</v>
      </c>
      <c r="B56" s="98">
        <f>MacPayLdHdr_H+(PktsperSlotCycle*CRC_OvrHd_H)</f>
        <v>64</v>
      </c>
      <c r="C56" s="94">
        <f>B56/bitspersecH</f>
        <v>2.9090909090909093E-06</v>
      </c>
      <c r="D56" s="94">
        <f>D55+C56+((PktsperSlotCycle*Async__Payload*8)/bitspersecH)</f>
        <v>0.01383772741818182</v>
      </c>
      <c r="E56" s="96"/>
      <c r="F56" s="92" t="s">
        <v>177</v>
      </c>
      <c r="G56" s="98">
        <f>MacPayLdHdr_H+(PktsperSlotCycle*CRC_OvrHd_H)</f>
        <v>64</v>
      </c>
      <c r="H56" s="94">
        <f>G56/bitspersecH</f>
        <v>2.9090909090909093E-06</v>
      </c>
      <c r="I56" s="94">
        <f>I55+H56+((PktsperSlotCycle*Async__Payload*8)/bitspersecH)</f>
        <v>0.01383772741818182</v>
      </c>
      <c r="J56" s="96"/>
      <c r="K56" s="92" t="s">
        <v>56</v>
      </c>
      <c r="L56" s="98"/>
      <c r="M56" s="94">
        <f>aSIFSTIME_H</f>
        <v>1E-05</v>
      </c>
      <c r="N56" s="94">
        <f t="shared" si="10"/>
        <v>0.017158000072727275</v>
      </c>
      <c r="O56" s="96"/>
    </row>
    <row r="57" spans="1:15" ht="12.75">
      <c r="A57" s="92" t="s">
        <v>56</v>
      </c>
      <c r="B57" s="98"/>
      <c r="C57" s="94">
        <f>aSIFSTIME_H</f>
        <v>1E-05</v>
      </c>
      <c r="D57" s="97">
        <f aca="true" t="shared" si="17" ref="D57:D62">C57+D56</f>
        <v>0.01384772741818182</v>
      </c>
      <c r="E57" s="96"/>
      <c r="F57" s="92" t="s">
        <v>56</v>
      </c>
      <c r="G57" s="98"/>
      <c r="H57" s="94">
        <f>aSIFSTIME_H</f>
        <v>1E-05</v>
      </c>
      <c r="I57" s="94">
        <f aca="true" t="shared" si="18" ref="I57:I62">I56+H57</f>
        <v>0.01384772741818182</v>
      </c>
      <c r="J57" s="96"/>
      <c r="K57" s="92" t="s">
        <v>85</v>
      </c>
      <c r="L57" s="98">
        <f>Preamble___PLCP</f>
        <v>616</v>
      </c>
      <c r="M57" s="94">
        <f>L57/bitspersecH</f>
        <v>2.8E-05</v>
      </c>
      <c r="N57" s="94">
        <f t="shared" si="10"/>
        <v>0.017186000072727275</v>
      </c>
      <c r="O57" s="96"/>
    </row>
    <row r="58" spans="1:15" ht="12.75">
      <c r="A58" s="92" t="s">
        <v>85</v>
      </c>
      <c r="B58" s="98">
        <f>Preamble___PLCP</f>
        <v>616</v>
      </c>
      <c r="C58" s="94">
        <f>B58/bitspersecH</f>
        <v>2.8E-05</v>
      </c>
      <c r="D58" s="97">
        <f t="shared" si="17"/>
        <v>0.01387572741818182</v>
      </c>
      <c r="E58" s="96"/>
      <c r="F58" s="92" t="s">
        <v>85</v>
      </c>
      <c r="G58" s="98">
        <f>Preamble___PLCP</f>
        <v>616</v>
      </c>
      <c r="H58" s="94">
        <f>G58/bitspersecH</f>
        <v>2.8E-05</v>
      </c>
      <c r="I58" s="94">
        <f t="shared" si="18"/>
        <v>0.01387572741818182</v>
      </c>
      <c r="J58" s="96"/>
      <c r="K58" s="92" t="s">
        <v>169</v>
      </c>
      <c r="L58" s="98">
        <f>ACK</f>
        <v>78</v>
      </c>
      <c r="M58" s="94">
        <f>L58/bitspersecH</f>
        <v>3.5454545454545454E-06</v>
      </c>
      <c r="N58" s="94">
        <f t="shared" si="10"/>
        <v>0.01718954552727273</v>
      </c>
      <c r="O58" s="96"/>
    </row>
    <row r="59" spans="1:15" ht="12.75">
      <c r="A59" s="92" t="s">
        <v>74</v>
      </c>
      <c r="B59" s="98">
        <f>ACK</f>
        <v>78</v>
      </c>
      <c r="C59" s="94">
        <f>B59/bitspersecH</f>
        <v>3.5454545454545454E-06</v>
      </c>
      <c r="D59" s="97">
        <f t="shared" si="17"/>
        <v>0.013879272872727274</v>
      </c>
      <c r="E59" s="96"/>
      <c r="F59" s="92" t="s">
        <v>167</v>
      </c>
      <c r="G59" s="98">
        <f>ACK</f>
        <v>78</v>
      </c>
      <c r="H59" s="94">
        <f>G59/bitspersecH</f>
        <v>3.5454545454545454E-06</v>
      </c>
      <c r="I59" s="94">
        <f t="shared" si="18"/>
        <v>0.013879272872727274</v>
      </c>
      <c r="J59" s="96"/>
      <c r="K59" s="99" t="s">
        <v>313</v>
      </c>
      <c r="L59" s="93"/>
      <c r="M59" s="94">
        <f>Mslot__Time</f>
        <v>5.8182E-06</v>
      </c>
      <c r="N59" s="94">
        <f t="shared" si="10"/>
        <v>0.01719536372727273</v>
      </c>
      <c r="O59" s="96"/>
    </row>
    <row r="60" spans="1:15" ht="12.75">
      <c r="A60" s="99" t="s">
        <v>313</v>
      </c>
      <c r="B60" s="93"/>
      <c r="C60" s="94">
        <f>Mslot__Time</f>
        <v>5.8182E-06</v>
      </c>
      <c r="D60" s="97">
        <f t="shared" si="17"/>
        <v>0.013885091072727274</v>
      </c>
      <c r="E60" s="96"/>
      <c r="F60" s="99" t="s">
        <v>313</v>
      </c>
      <c r="G60" s="93"/>
      <c r="H60" s="94">
        <f>Mslot__Time</f>
        <v>5.8182E-06</v>
      </c>
      <c r="I60" s="94">
        <f t="shared" si="18"/>
        <v>0.013885091072727274</v>
      </c>
      <c r="J60" s="96"/>
      <c r="K60" s="92" t="s">
        <v>162</v>
      </c>
      <c r="L60" s="93"/>
      <c r="M60" s="94">
        <f>RxTx_time</f>
        <v>5E-06</v>
      </c>
      <c r="N60" s="94">
        <f t="shared" si="10"/>
        <v>0.01720036372727273</v>
      </c>
      <c r="O60" s="96"/>
    </row>
    <row r="61" spans="1:15" ht="12.75">
      <c r="A61" s="92" t="s">
        <v>162</v>
      </c>
      <c r="B61" s="93"/>
      <c r="C61" s="94">
        <f>RxTx_time</f>
        <v>5E-06</v>
      </c>
      <c r="D61" s="97">
        <f t="shared" si="17"/>
        <v>0.013890091072727274</v>
      </c>
      <c r="E61" s="96"/>
      <c r="F61" s="92" t="s">
        <v>162</v>
      </c>
      <c r="G61" s="93"/>
      <c r="H61" s="94">
        <f>RxTx_time</f>
        <v>5E-06</v>
      </c>
      <c r="I61" s="94">
        <f t="shared" si="18"/>
        <v>0.013890091072727274</v>
      </c>
      <c r="J61" s="96"/>
      <c r="K61" s="92" t="s">
        <v>85</v>
      </c>
      <c r="L61" s="98">
        <f>Preamble___PLCP</f>
        <v>616</v>
      </c>
      <c r="M61" s="94">
        <f>L61/bitspersecH</f>
        <v>2.8E-05</v>
      </c>
      <c r="N61" s="94">
        <f t="shared" si="10"/>
        <v>0.01722836372727273</v>
      </c>
      <c r="O61" s="96"/>
    </row>
    <row r="62" spans="1:15" ht="12.75">
      <c r="A62" s="92" t="s">
        <v>85</v>
      </c>
      <c r="B62" s="98">
        <f>Preamble___PLCP</f>
        <v>616</v>
      </c>
      <c r="C62" s="94">
        <f>B62/bitspersecH</f>
        <v>2.8E-05</v>
      </c>
      <c r="D62" s="97">
        <f t="shared" si="17"/>
        <v>0.013918091072727274</v>
      </c>
      <c r="E62" s="96"/>
      <c r="F62" s="92" t="s">
        <v>85</v>
      </c>
      <c r="G62" s="98">
        <f>Preamble___PLCP</f>
        <v>616</v>
      </c>
      <c r="H62" s="94">
        <f>G62/bitspersecH</f>
        <v>2.8E-05</v>
      </c>
      <c r="I62" s="94">
        <f t="shared" si="18"/>
        <v>0.013918091072727274</v>
      </c>
      <c r="J62" s="96"/>
      <c r="K62" s="92" t="s">
        <v>178</v>
      </c>
      <c r="L62" s="98">
        <f>MacPayLdHdr_H+(PktsperSlotCycle*CRC_OvrHd_H)</f>
        <v>64</v>
      </c>
      <c r="M62" s="94">
        <f>L62/bitspersecH</f>
        <v>2.9090909090909093E-06</v>
      </c>
      <c r="N62" s="94">
        <f>N61+M62+((PktsperSlotCycle*Async__Payload*8)/bitspersecH)</f>
        <v>0.018882909181818185</v>
      </c>
      <c r="O62" s="96"/>
    </row>
    <row r="63" spans="1:15" ht="12.75">
      <c r="A63" s="92" t="s">
        <v>75</v>
      </c>
      <c r="B63" s="98">
        <f>MacPayLdHdr_H+(PktsperSlotCycle*CRC_OvrHd_H)</f>
        <v>64</v>
      </c>
      <c r="C63" s="94">
        <f>B63/bitspersecH</f>
        <v>2.9090909090909093E-06</v>
      </c>
      <c r="D63" s="94">
        <f>D62+C63+((PktsperSlotCycle*Async__Payload*8)/bitspersecH)</f>
        <v>0.01557263652727273</v>
      </c>
      <c r="E63" s="96"/>
      <c r="F63" s="92" t="s">
        <v>176</v>
      </c>
      <c r="G63" s="98">
        <f>MacPayLdHdr_H+(PktsperSlotCycle*CRC_OvrHd_H)</f>
        <v>64</v>
      </c>
      <c r="H63" s="94">
        <f>G63/bitspersecH</f>
        <v>2.9090909090909093E-06</v>
      </c>
      <c r="I63" s="94">
        <f>I62+H63+((PktsperSlotCycle*Async__Payload*8)/bitspersecH)</f>
        <v>0.01557263652727273</v>
      </c>
      <c r="J63" s="96"/>
      <c r="K63" s="92" t="s">
        <v>56</v>
      </c>
      <c r="L63" s="98"/>
      <c r="M63" s="94">
        <f>aSIFSTIME_H</f>
        <v>1E-05</v>
      </c>
      <c r="N63" s="94">
        <f t="shared" si="10"/>
        <v>0.018892909181818185</v>
      </c>
      <c r="O63" s="96"/>
    </row>
    <row r="64" spans="1:15" ht="12.75">
      <c r="A64" s="92" t="s">
        <v>56</v>
      </c>
      <c r="B64" s="98"/>
      <c r="C64" s="94">
        <f>aSIFSTIME_H</f>
        <v>1E-05</v>
      </c>
      <c r="D64" s="97">
        <f aca="true" t="shared" si="19" ref="D64:D69">C64+D63</f>
        <v>0.01558263652727273</v>
      </c>
      <c r="E64" s="96"/>
      <c r="F64" s="92" t="s">
        <v>56</v>
      </c>
      <c r="G64" s="98"/>
      <c r="H64" s="94">
        <f>aSIFSTIME_H</f>
        <v>1E-05</v>
      </c>
      <c r="I64" s="94">
        <f aca="true" t="shared" si="20" ref="I64:I69">I63+H64</f>
        <v>0.01558263652727273</v>
      </c>
      <c r="J64" s="96"/>
      <c r="K64" s="92" t="s">
        <v>85</v>
      </c>
      <c r="L64" s="98">
        <f>Preamble___PLCP</f>
        <v>616</v>
      </c>
      <c r="M64" s="94">
        <f>L64/bitspersecH</f>
        <v>2.8E-05</v>
      </c>
      <c r="N64" s="94">
        <f t="shared" si="10"/>
        <v>0.018920909181818185</v>
      </c>
      <c r="O64" s="96"/>
    </row>
    <row r="65" spans="1:15" ht="12.75">
      <c r="A65" s="92" t="s">
        <v>85</v>
      </c>
      <c r="B65" s="98">
        <f>Preamble___PLCP</f>
        <v>616</v>
      </c>
      <c r="C65" s="94">
        <f>B65/bitspersecH</f>
        <v>2.8E-05</v>
      </c>
      <c r="D65" s="97">
        <f t="shared" si="19"/>
        <v>0.01561063652727273</v>
      </c>
      <c r="E65" s="96"/>
      <c r="F65" s="92" t="s">
        <v>85</v>
      </c>
      <c r="G65" s="98">
        <f>Preamble___PLCP</f>
        <v>616</v>
      </c>
      <c r="H65" s="94">
        <f>G65/bitspersecH</f>
        <v>2.8E-05</v>
      </c>
      <c r="I65" s="94">
        <f t="shared" si="20"/>
        <v>0.01561063652727273</v>
      </c>
      <c r="J65" s="96"/>
      <c r="K65" s="92" t="s">
        <v>165</v>
      </c>
      <c r="L65" s="98">
        <f>ACK</f>
        <v>78</v>
      </c>
      <c r="M65" s="94">
        <f>L65/bitspersecH</f>
        <v>3.5454545454545454E-06</v>
      </c>
      <c r="N65" s="94">
        <f t="shared" si="10"/>
        <v>0.01892445463636364</v>
      </c>
      <c r="O65" s="96"/>
    </row>
    <row r="66" spans="1:15" ht="12.75">
      <c r="A66" s="92" t="s">
        <v>76</v>
      </c>
      <c r="B66" s="98">
        <f>ACK</f>
        <v>78</v>
      </c>
      <c r="C66" s="94">
        <f>B66/bitspersecH</f>
        <v>3.5454545454545454E-06</v>
      </c>
      <c r="D66" s="97">
        <f t="shared" si="19"/>
        <v>0.015614181981818184</v>
      </c>
      <c r="E66" s="96"/>
      <c r="F66" s="92" t="s">
        <v>169</v>
      </c>
      <c r="G66" s="98">
        <f>ACK</f>
        <v>78</v>
      </c>
      <c r="H66" s="94">
        <f>G66/bitspersecH</f>
        <v>3.5454545454545454E-06</v>
      </c>
      <c r="I66" s="94">
        <f t="shared" si="20"/>
        <v>0.015614181981818184</v>
      </c>
      <c r="J66" s="96"/>
      <c r="K66" s="99" t="s">
        <v>313</v>
      </c>
      <c r="L66" s="93"/>
      <c r="M66" s="94">
        <f>Mslot__Time</f>
        <v>5.8182E-06</v>
      </c>
      <c r="N66" s="94">
        <f t="shared" si="10"/>
        <v>0.01893027283636364</v>
      </c>
      <c r="O66" s="96"/>
    </row>
    <row r="67" spans="1:15" ht="12.75">
      <c r="A67" s="99" t="s">
        <v>313</v>
      </c>
      <c r="B67" s="93"/>
      <c r="C67" s="94">
        <f>Mslot__Time</f>
        <v>5.8182E-06</v>
      </c>
      <c r="D67" s="97">
        <f t="shared" si="19"/>
        <v>0.015620000181818184</v>
      </c>
      <c r="E67" s="96"/>
      <c r="F67" s="99" t="s">
        <v>313</v>
      </c>
      <c r="G67" s="93"/>
      <c r="H67" s="94">
        <f>Mslot__Time</f>
        <v>5.8182E-06</v>
      </c>
      <c r="I67" s="94">
        <f t="shared" si="20"/>
        <v>0.015620000181818184</v>
      </c>
      <c r="J67" s="96"/>
      <c r="K67" s="92" t="s">
        <v>162</v>
      </c>
      <c r="L67" s="93"/>
      <c r="M67" s="94">
        <f>RxTx_time</f>
        <v>5E-06</v>
      </c>
      <c r="N67" s="94">
        <f t="shared" si="10"/>
        <v>0.01893527283636364</v>
      </c>
      <c r="O67" s="96"/>
    </row>
    <row r="68" spans="1:15" ht="12.75">
      <c r="A68" s="92" t="s">
        <v>162</v>
      </c>
      <c r="B68" s="93"/>
      <c r="C68" s="94">
        <f>RxTx_time</f>
        <v>5E-06</v>
      </c>
      <c r="D68" s="97">
        <f t="shared" si="19"/>
        <v>0.015625000181818186</v>
      </c>
      <c r="E68" s="96"/>
      <c r="F68" s="92" t="s">
        <v>162</v>
      </c>
      <c r="G68" s="93"/>
      <c r="H68" s="94">
        <f>RxTx_time</f>
        <v>5E-06</v>
      </c>
      <c r="I68" s="94">
        <f t="shared" si="20"/>
        <v>0.015625000181818186</v>
      </c>
      <c r="J68" s="96"/>
      <c r="K68" s="92" t="s">
        <v>85</v>
      </c>
      <c r="L68" s="98">
        <f>Preamble___PLCP</f>
        <v>616</v>
      </c>
      <c r="M68" s="94">
        <f>L68/bitspersecH</f>
        <v>2.8E-05</v>
      </c>
      <c r="N68" s="94">
        <f t="shared" si="10"/>
        <v>0.01896327283636364</v>
      </c>
      <c r="O68" s="96"/>
    </row>
    <row r="69" spans="1:15" ht="12.75">
      <c r="A69" s="92" t="s">
        <v>85</v>
      </c>
      <c r="B69" s="98">
        <f>Preamble___PLCP</f>
        <v>616</v>
      </c>
      <c r="C69" s="94">
        <f>B69/bitspersecH</f>
        <v>2.8E-05</v>
      </c>
      <c r="D69" s="97">
        <f t="shared" si="19"/>
        <v>0.015653000181818186</v>
      </c>
      <c r="E69" s="96"/>
      <c r="F69" s="92" t="s">
        <v>85</v>
      </c>
      <c r="G69" s="98">
        <f>Preamble___PLCP</f>
        <v>616</v>
      </c>
      <c r="H69" s="94">
        <f>G69/bitspersecH</f>
        <v>2.8E-05</v>
      </c>
      <c r="I69" s="94">
        <f t="shared" si="20"/>
        <v>0.015653000181818186</v>
      </c>
      <c r="J69" s="96"/>
      <c r="K69" s="92" t="s">
        <v>179</v>
      </c>
      <c r="L69" s="98">
        <f>MacPayLdHdr_H+(PktsperSlotCycle*CRC_OvrHd_H)</f>
        <v>64</v>
      </c>
      <c r="M69" s="94">
        <f>L69/bitspersecH</f>
        <v>2.9090909090909093E-06</v>
      </c>
      <c r="N69" s="94">
        <f>N68+M69+((PktsperSlotCycle*Async__Payload*8)/bitspersecH)</f>
        <v>0.020617818290909095</v>
      </c>
      <c r="O69" s="96"/>
    </row>
    <row r="70" spans="1:15" ht="12.75">
      <c r="A70" s="92" t="s">
        <v>77</v>
      </c>
      <c r="B70" s="98">
        <f>MacPayLdHdr_H+(PktsperSlotCycle*CRC_OvrHd_H)</f>
        <v>64</v>
      </c>
      <c r="C70" s="94">
        <f>B70/bitspersecH</f>
        <v>2.9090909090909093E-06</v>
      </c>
      <c r="D70" s="94">
        <f>D69+C70+((PktsperSlotCycle*Async__Payload*8)/bitspersecH)</f>
        <v>0.01730754563636364</v>
      </c>
      <c r="E70" s="96"/>
      <c r="F70" s="92" t="s">
        <v>178</v>
      </c>
      <c r="G70" s="98">
        <f>MacPayLdHdr_H+(PktsperSlotCycle*CRC_OvrHd_H)</f>
        <v>64</v>
      </c>
      <c r="H70" s="94">
        <f>G70/bitspersecH</f>
        <v>2.9090909090909093E-06</v>
      </c>
      <c r="I70" s="94">
        <f>I69+H70+((PktsperSlotCycle*Async__Payload*8)/bitspersecH)</f>
        <v>0.01730754563636364</v>
      </c>
      <c r="J70" s="96"/>
      <c r="K70" s="92" t="s">
        <v>56</v>
      </c>
      <c r="L70" s="98"/>
      <c r="M70" s="94">
        <f>aSIFSTIME_H</f>
        <v>1E-05</v>
      </c>
      <c r="N70" s="94">
        <f t="shared" si="10"/>
        <v>0.020627818290909095</v>
      </c>
      <c r="O70" s="96"/>
    </row>
    <row r="71" spans="1:15" ht="12.75">
      <c r="A71" s="92" t="s">
        <v>56</v>
      </c>
      <c r="B71" s="98"/>
      <c r="C71" s="94">
        <f>aSIFSTIME_H</f>
        <v>1E-05</v>
      </c>
      <c r="D71" s="97">
        <f>C71+D70</f>
        <v>0.01731754563636364</v>
      </c>
      <c r="E71" s="96"/>
      <c r="F71" s="92" t="s">
        <v>56</v>
      </c>
      <c r="G71" s="98"/>
      <c r="H71" s="94">
        <f>aSIFSTIME_H</f>
        <v>1E-05</v>
      </c>
      <c r="I71" s="94">
        <f aca="true" t="shared" si="21" ref="I71:I76">I70+H71</f>
        <v>0.01731754563636364</v>
      </c>
      <c r="J71" s="96"/>
      <c r="K71" s="92" t="s">
        <v>85</v>
      </c>
      <c r="L71" s="98">
        <f>Preamble___PLCP</f>
        <v>616</v>
      </c>
      <c r="M71" s="94">
        <f>L71/bitspersecH</f>
        <v>2.8E-05</v>
      </c>
      <c r="N71" s="94">
        <f t="shared" si="10"/>
        <v>0.020655818290909095</v>
      </c>
      <c r="O71" s="96"/>
    </row>
    <row r="72" spans="1:15" ht="12.75">
      <c r="A72" s="92" t="s">
        <v>85</v>
      </c>
      <c r="B72" s="98">
        <f>Preamble___PLCP</f>
        <v>616</v>
      </c>
      <c r="C72" s="94">
        <f>B72/bitspersecH</f>
        <v>2.8E-05</v>
      </c>
      <c r="D72" s="97">
        <f>C72+D71</f>
        <v>0.01734554563636364</v>
      </c>
      <c r="E72" s="96"/>
      <c r="F72" s="92" t="s">
        <v>85</v>
      </c>
      <c r="G72" s="98">
        <f>Preamble___PLCP</f>
        <v>616</v>
      </c>
      <c r="H72" s="94">
        <f>G72/bitspersecH</f>
        <v>2.8E-05</v>
      </c>
      <c r="I72" s="94">
        <f t="shared" si="21"/>
        <v>0.01734554563636364</v>
      </c>
      <c r="J72" s="96"/>
      <c r="K72" s="92" t="s">
        <v>167</v>
      </c>
      <c r="L72" s="98">
        <f>ACK</f>
        <v>78</v>
      </c>
      <c r="M72" s="94">
        <f>L72/bitspersecH</f>
        <v>3.5454545454545454E-06</v>
      </c>
      <c r="N72" s="94">
        <f t="shared" si="10"/>
        <v>0.02065936374545455</v>
      </c>
      <c r="O72" s="96"/>
    </row>
    <row r="73" spans="1:15" ht="12.75">
      <c r="A73" s="101" t="s">
        <v>78</v>
      </c>
      <c r="B73" s="102">
        <f>ACK</f>
        <v>78</v>
      </c>
      <c r="C73" s="103">
        <f>B73/bitspersecH</f>
        <v>3.5454545454545454E-06</v>
      </c>
      <c r="D73" s="104">
        <f>C73+D72</f>
        <v>0.017349091090909093</v>
      </c>
      <c r="E73" s="96"/>
      <c r="F73" s="92" t="s">
        <v>165</v>
      </c>
      <c r="G73" s="98">
        <f>ACK</f>
        <v>78</v>
      </c>
      <c r="H73" s="94">
        <f>G73/bitspersecH</f>
        <v>3.5454545454545454E-06</v>
      </c>
      <c r="I73" s="94">
        <f t="shared" si="21"/>
        <v>0.017349091090909093</v>
      </c>
      <c r="J73" s="96"/>
      <c r="K73" s="92" t="s">
        <v>162</v>
      </c>
      <c r="L73" s="93"/>
      <c r="M73" s="94">
        <f>RxTx_time</f>
        <v>5E-06</v>
      </c>
      <c r="N73" s="94">
        <f t="shared" si="10"/>
        <v>0.02066436374545455</v>
      </c>
      <c r="O73" s="96"/>
    </row>
    <row r="74" spans="1:15" ht="12.75">
      <c r="A74" s="1"/>
      <c r="B74" s="105"/>
      <c r="C74" s="18"/>
      <c r="D74" s="106"/>
      <c r="E74" s="96"/>
      <c r="F74" s="99" t="s">
        <v>313</v>
      </c>
      <c r="G74" s="93"/>
      <c r="H74" s="94">
        <f>Mslot__Time</f>
        <v>5.8182E-06</v>
      </c>
      <c r="I74" s="94">
        <f t="shared" si="21"/>
        <v>0.017354909290909094</v>
      </c>
      <c r="J74" s="96"/>
      <c r="K74" s="92" t="s">
        <v>85</v>
      </c>
      <c r="L74" s="98">
        <f>Preamble___PLCP</f>
        <v>616</v>
      </c>
      <c r="M74" s="94">
        <f>L74/bitspersecH</f>
        <v>2.8E-05</v>
      </c>
      <c r="N74" s="94">
        <f t="shared" si="10"/>
        <v>0.02069236374545455</v>
      </c>
      <c r="O74" s="96"/>
    </row>
    <row r="75" spans="1:15" ht="12.75">
      <c r="A75" s="6" t="s">
        <v>180</v>
      </c>
      <c r="B75" s="107"/>
      <c r="C75" s="108">
        <f>SUM(C4:C73)</f>
        <v>0.0008327274545454549</v>
      </c>
      <c r="D75" s="109" t="s">
        <v>104</v>
      </c>
      <c r="E75" s="96"/>
      <c r="F75" s="92" t="s">
        <v>162</v>
      </c>
      <c r="G75" s="93"/>
      <c r="H75" s="94">
        <f>RxTx_time</f>
        <v>5E-06</v>
      </c>
      <c r="I75" s="94">
        <f t="shared" si="21"/>
        <v>0.017359909290909095</v>
      </c>
      <c r="J75" s="96"/>
      <c r="K75" s="99" t="s">
        <v>181</v>
      </c>
      <c r="L75" s="98">
        <f>MacPayLdHdr_H+(PktsperSlotCycle*CRC_OvrHd_H)</f>
        <v>64</v>
      </c>
      <c r="M75" s="94">
        <f>L75/bitspersecH</f>
        <v>2.9090909090909093E-06</v>
      </c>
      <c r="N75" s="94">
        <f>N74+M75+((PktsperSlotCycle*Isoc__Payload*8)/bitspersecH)</f>
        <v>0.022346909200000004</v>
      </c>
      <c r="O75" s="96"/>
    </row>
    <row r="76" spans="1:15" ht="12.75">
      <c r="A76" s="6" t="s">
        <v>182</v>
      </c>
      <c r="B76" s="110"/>
      <c r="C76" s="108">
        <f>B79/bitspersecH</f>
        <v>0.016516363636363638</v>
      </c>
      <c r="D76" s="109" t="s">
        <v>104</v>
      </c>
      <c r="E76" s="96"/>
      <c r="F76" s="92" t="s">
        <v>85</v>
      </c>
      <c r="G76" s="98">
        <f>Preamble___PLCP</f>
        <v>616</v>
      </c>
      <c r="H76" s="94">
        <f>G76/bitspersecH</f>
        <v>2.8E-05</v>
      </c>
      <c r="I76" s="94">
        <f t="shared" si="21"/>
        <v>0.017387909290909095</v>
      </c>
      <c r="J76" s="96"/>
      <c r="K76" s="92" t="s">
        <v>162</v>
      </c>
      <c r="L76" s="93"/>
      <c r="M76" s="94">
        <f>RxTx_time</f>
        <v>5E-06</v>
      </c>
      <c r="N76" s="94">
        <f t="shared" si="10"/>
        <v>0.022351909200000006</v>
      </c>
      <c r="O76" s="96"/>
    </row>
    <row r="77" spans="1:15" ht="12.75">
      <c r="A77" s="6" t="s">
        <v>183</v>
      </c>
      <c r="B77" s="111"/>
      <c r="C77" s="108">
        <f>C75+C76</f>
        <v>0.017349091090909093</v>
      </c>
      <c r="D77" s="109" t="s">
        <v>104</v>
      </c>
      <c r="E77" s="96"/>
      <c r="F77" s="92" t="s">
        <v>179</v>
      </c>
      <c r="G77" s="98">
        <f>MacPayLdHdr_H+(PktsperSlotCycle*CRC_OvrHd_H)</f>
        <v>64</v>
      </c>
      <c r="H77" s="94">
        <f>G77/bitspersecH</f>
        <v>2.9090909090909093E-06</v>
      </c>
      <c r="I77" s="94">
        <f>I76+H77+((PktsperSlotCycle*Async__Payload*8)/bitspersecH)</f>
        <v>0.01904245474545455</v>
      </c>
      <c r="J77" s="96"/>
      <c r="K77" s="92" t="s">
        <v>85</v>
      </c>
      <c r="L77" s="98">
        <f>Preamble___PLCP</f>
        <v>616</v>
      </c>
      <c r="M77" s="94">
        <f>L77/bitspersecH</f>
        <v>2.8E-05</v>
      </c>
      <c r="N77" s="94">
        <f t="shared" si="10"/>
        <v>0.022379909200000006</v>
      </c>
      <c r="O77" s="96"/>
    </row>
    <row r="78" spans="1:15" ht="12.75">
      <c r="A78" s="6" t="s">
        <v>184</v>
      </c>
      <c r="B78" s="107">
        <f>SUM(B4:B73)</f>
        <v>13740</v>
      </c>
      <c r="C78" s="108"/>
      <c r="D78" s="109"/>
      <c r="E78" s="96"/>
      <c r="F78" s="92" t="s">
        <v>56</v>
      </c>
      <c r="G78" s="98"/>
      <c r="H78" s="94">
        <f>aSIFSTIME_H</f>
        <v>1E-05</v>
      </c>
      <c r="I78" s="94">
        <f aca="true" t="shared" si="22" ref="I78:I83">I77+H78</f>
        <v>0.01905245474545455</v>
      </c>
      <c r="J78" s="96"/>
      <c r="K78" s="92" t="s">
        <v>185</v>
      </c>
      <c r="L78" s="98">
        <f>MacPayLdHdr_H+(PktsperSlotCycle*CRC_OvrHd_H)</f>
        <v>64</v>
      </c>
      <c r="M78" s="94">
        <f>L78/bitspersecH</f>
        <v>2.9090909090909093E-06</v>
      </c>
      <c r="N78" s="94">
        <f>N77+M78+((PktsperSlotCycle*Async__Payload*8)/bitspersecH)</f>
        <v>0.02403445465454546</v>
      </c>
      <c r="O78" s="96"/>
    </row>
    <row r="79" spans="1:15" ht="13.5" thickBot="1">
      <c r="A79" s="112" t="s">
        <v>81</v>
      </c>
      <c r="B79" s="113">
        <f>(COUNTIF(A4:A73,"Data_*")*PktsperSlotCycle*Async__Payload*8)</f>
        <v>363360</v>
      </c>
      <c r="C79" s="114"/>
      <c r="D79" s="115"/>
      <c r="E79" s="96"/>
      <c r="F79" s="92" t="s">
        <v>85</v>
      </c>
      <c r="G79" s="98">
        <f>Preamble___PLCP</f>
        <v>616</v>
      </c>
      <c r="H79" s="94">
        <f>G79/bitspersecH</f>
        <v>2.8E-05</v>
      </c>
      <c r="I79" s="94">
        <f t="shared" si="22"/>
        <v>0.01908045474545455</v>
      </c>
      <c r="J79" s="96"/>
      <c r="K79" s="92" t="s">
        <v>56</v>
      </c>
      <c r="L79" s="98"/>
      <c r="M79" s="94">
        <f>aSIFSTIME_H</f>
        <v>1E-05</v>
      </c>
      <c r="N79" s="94">
        <f t="shared" si="10"/>
        <v>0.02404445465454546</v>
      </c>
      <c r="O79" s="96"/>
    </row>
    <row r="80" spans="1:15" ht="13.5" thickTop="1">
      <c r="A80" s="69" t="s">
        <v>186</v>
      </c>
      <c r="B80" s="116">
        <f>B78/B79</f>
        <v>0.03781373844121532</v>
      </c>
      <c r="C80" s="117"/>
      <c r="D80" s="118"/>
      <c r="E80" s="100"/>
      <c r="F80" s="92" t="s">
        <v>167</v>
      </c>
      <c r="G80" s="98">
        <f>ACK</f>
        <v>78</v>
      </c>
      <c r="H80" s="94">
        <f>G80/bitspersecH</f>
        <v>3.5454545454545454E-06</v>
      </c>
      <c r="I80" s="94">
        <f t="shared" si="22"/>
        <v>0.019084000200000003</v>
      </c>
      <c r="J80" s="96"/>
      <c r="K80" s="92" t="s">
        <v>85</v>
      </c>
      <c r="L80" s="98">
        <f>Preamble___PLCP</f>
        <v>616</v>
      </c>
      <c r="M80" s="94">
        <f>L80/bitspersecH</f>
        <v>2.8E-05</v>
      </c>
      <c r="N80" s="94">
        <f t="shared" si="10"/>
        <v>0.02407245465454546</v>
      </c>
      <c r="O80" s="96"/>
    </row>
    <row r="81" spans="1:14" ht="12.75">
      <c r="A81" s="96"/>
      <c r="B81" s="96"/>
      <c r="C81" s="96"/>
      <c r="D81" s="22"/>
      <c r="F81" s="99" t="s">
        <v>313</v>
      </c>
      <c r="G81" s="93"/>
      <c r="H81" s="94">
        <f>Mslot__Time</f>
        <v>5.8182E-06</v>
      </c>
      <c r="I81" s="94">
        <f t="shared" si="22"/>
        <v>0.019089818400000003</v>
      </c>
      <c r="K81" s="92" t="s">
        <v>165</v>
      </c>
      <c r="L81" s="98">
        <f>ACK</f>
        <v>78</v>
      </c>
      <c r="M81" s="94">
        <f>L81/bitspersecH</f>
        <v>3.5454545454545454E-06</v>
      </c>
      <c r="N81" s="94">
        <f t="shared" si="10"/>
        <v>0.024076000109090914</v>
      </c>
    </row>
    <row r="82" spans="1:14" ht="12.75">
      <c r="A82" s="6" t="s">
        <v>187</v>
      </c>
      <c r="B82" s="7"/>
      <c r="C82" s="363">
        <f>C76/C77</f>
        <v>0.9520016668203556</v>
      </c>
      <c r="D82" s="22"/>
      <c r="F82" s="92" t="s">
        <v>162</v>
      </c>
      <c r="G82" s="93"/>
      <c r="H82" s="94">
        <f>RxTx_time</f>
        <v>5E-06</v>
      </c>
      <c r="I82" s="94">
        <f t="shared" si="22"/>
        <v>0.019094818400000005</v>
      </c>
      <c r="K82" s="99" t="s">
        <v>313</v>
      </c>
      <c r="L82" s="93"/>
      <c r="M82" s="94">
        <f>Mslot__Time</f>
        <v>5.8182E-06</v>
      </c>
      <c r="N82" s="94">
        <f t="shared" si="10"/>
        <v>0.024081818309090914</v>
      </c>
    </row>
    <row r="83" spans="1:14" ht="12.75">
      <c r="A83" s="6" t="s">
        <v>86</v>
      </c>
      <c r="B83" s="107"/>
      <c r="C83" s="119">
        <f>bitspersecH*C82</f>
        <v>20944036.670047823</v>
      </c>
      <c r="D83" s="120" t="s">
        <v>188</v>
      </c>
      <c r="E83" s="16"/>
      <c r="F83" s="92" t="s">
        <v>85</v>
      </c>
      <c r="G83" s="98">
        <f>Preamble___PLCP</f>
        <v>616</v>
      </c>
      <c r="H83" s="94">
        <f>G83/bitspersecH</f>
        <v>2.8E-05</v>
      </c>
      <c r="I83" s="94">
        <f t="shared" si="22"/>
        <v>0.019122818400000005</v>
      </c>
      <c r="K83" s="92" t="s">
        <v>162</v>
      </c>
      <c r="L83" s="93"/>
      <c r="M83" s="94">
        <f>RxTx_time</f>
        <v>5E-06</v>
      </c>
      <c r="N83" s="94">
        <f t="shared" si="10"/>
        <v>0.024086818309090915</v>
      </c>
    </row>
    <row r="84" spans="1:14" ht="12.75">
      <c r="A84" s="27"/>
      <c r="B84" s="121"/>
      <c r="C84" s="122"/>
      <c r="D84" s="123"/>
      <c r="E84" s="15"/>
      <c r="F84" s="92" t="s">
        <v>189</v>
      </c>
      <c r="G84" s="98">
        <f>MacPayLdHdr_H+(PktsperSlotCycle*CRC_OvrHd_H)</f>
        <v>64</v>
      </c>
      <c r="H84" s="94">
        <f>G84/bitspersecH</f>
        <v>2.9090909090909093E-06</v>
      </c>
      <c r="I84" s="94">
        <f>I83+H84+((PktsperSlotCycle*Async__Payload*8)/bitspersecH)</f>
        <v>0.02077736385454546</v>
      </c>
      <c r="K84" s="92" t="s">
        <v>85</v>
      </c>
      <c r="L84" s="98">
        <f>Preamble___PLCP</f>
        <v>616</v>
      </c>
      <c r="M84" s="94">
        <f>L84/bitspersecH</f>
        <v>2.8E-05</v>
      </c>
      <c r="N84" s="94">
        <f t="shared" si="10"/>
        <v>0.024114818309090916</v>
      </c>
    </row>
    <row r="85" spans="1:14" ht="13.5" thickBot="1">
      <c r="A85" s="75" t="s">
        <v>190</v>
      </c>
      <c r="B85" s="77"/>
      <c r="C85" s="124"/>
      <c r="D85" s="78"/>
      <c r="F85" s="92" t="s">
        <v>56</v>
      </c>
      <c r="G85" s="98"/>
      <c r="H85" s="94">
        <f>aSIFSTIME_H</f>
        <v>1E-05</v>
      </c>
      <c r="I85" s="94">
        <f aca="true" t="shared" si="23" ref="I85:I90">I84+H85</f>
        <v>0.02078736385454546</v>
      </c>
      <c r="K85" s="92" t="s">
        <v>191</v>
      </c>
      <c r="L85" s="98">
        <f>MacPayLdHdr_H+(PktsperSlotCycle*CRC_OvrHd_H)</f>
        <v>64</v>
      </c>
      <c r="M85" s="94">
        <f>L85/bitspersecH</f>
        <v>2.9090909090909093E-06</v>
      </c>
      <c r="N85" s="94">
        <f>N84+M85+((PktsperSlotCycle*Async__Payload*8)/bitspersecH)</f>
        <v>0.02576936376363637</v>
      </c>
    </row>
    <row r="86" spans="1:14" ht="13.5" thickTop="1">
      <c r="A86" s="125"/>
      <c r="B86" s="126"/>
      <c r="C86" s="127"/>
      <c r="D86" s="128"/>
      <c r="F86" s="92" t="s">
        <v>85</v>
      </c>
      <c r="G86" s="98">
        <f>Preamble___PLCP</f>
        <v>616</v>
      </c>
      <c r="H86" s="94">
        <f>G86/bitspersecH</f>
        <v>2.8E-05</v>
      </c>
      <c r="I86" s="94">
        <f t="shared" si="23"/>
        <v>0.02081536385454546</v>
      </c>
      <c r="K86" s="92" t="s">
        <v>56</v>
      </c>
      <c r="L86" s="98"/>
      <c r="M86" s="94">
        <f>aSIFSTIME_H</f>
        <v>1E-05</v>
      </c>
      <c r="N86" s="94">
        <f t="shared" si="10"/>
        <v>0.02577936376363637</v>
      </c>
    </row>
    <row r="87" spans="1:14" ht="12.75">
      <c r="A87" s="54" t="s">
        <v>192</v>
      </c>
      <c r="B87" s="251"/>
      <c r="C87" s="35"/>
      <c r="D87" s="252"/>
      <c r="F87" s="92" t="s">
        <v>169</v>
      </c>
      <c r="G87" s="98">
        <f>ACK</f>
        <v>78</v>
      </c>
      <c r="H87" s="94">
        <f>G87/bitspersecH</f>
        <v>3.5454545454545454E-06</v>
      </c>
      <c r="I87" s="94">
        <f t="shared" si="23"/>
        <v>0.020818909309090913</v>
      </c>
      <c r="K87" s="92" t="s">
        <v>85</v>
      </c>
      <c r="L87" s="98">
        <f>Preamble___PLCP</f>
        <v>616</v>
      </c>
      <c r="M87" s="94">
        <f>L87/bitspersecH</f>
        <v>2.8E-05</v>
      </c>
      <c r="N87" s="94">
        <f t="shared" si="10"/>
        <v>0.02580736376363637</v>
      </c>
    </row>
    <row r="88" spans="1:14" ht="12.75">
      <c r="A88" s="54" t="s">
        <v>419</v>
      </c>
      <c r="B88" s="251"/>
      <c r="C88" s="35"/>
      <c r="D88" s="252"/>
      <c r="F88" s="99" t="s">
        <v>313</v>
      </c>
      <c r="G88" s="93"/>
      <c r="H88" s="94">
        <f>Mslot__Time</f>
        <v>5.8182E-06</v>
      </c>
      <c r="I88" s="94">
        <f t="shared" si="23"/>
        <v>0.020824727509090913</v>
      </c>
      <c r="K88" s="92" t="s">
        <v>167</v>
      </c>
      <c r="L88" s="98">
        <f>ACK</f>
        <v>78</v>
      </c>
      <c r="M88" s="94">
        <f>L88/bitspersecH</f>
        <v>3.5454545454545454E-06</v>
      </c>
      <c r="N88" s="94">
        <f t="shared" si="10"/>
        <v>0.025810909218181823</v>
      </c>
    </row>
    <row r="89" spans="2:14" ht="12.75">
      <c r="B89" s="54" t="s">
        <v>420</v>
      </c>
      <c r="C89" s="35"/>
      <c r="D89" s="252"/>
      <c r="F89" s="92" t="s">
        <v>162</v>
      </c>
      <c r="G89" s="93"/>
      <c r="H89" s="94">
        <f>RxTx_time</f>
        <v>5E-06</v>
      </c>
      <c r="I89" s="94">
        <f t="shared" si="23"/>
        <v>0.020829727509090915</v>
      </c>
      <c r="K89" s="99" t="s">
        <v>313</v>
      </c>
      <c r="L89" s="93"/>
      <c r="M89" s="94">
        <f>Mslot__Time</f>
        <v>5.8182E-06</v>
      </c>
      <c r="N89" s="94">
        <f t="shared" si="10"/>
        <v>0.025816727418181824</v>
      </c>
    </row>
    <row r="90" spans="1:14" ht="12.75">
      <c r="A90" s="54"/>
      <c r="B90" s="251" t="s">
        <v>193</v>
      </c>
      <c r="C90" s="43">
        <f>(Mslot__Time+RxTx_time+(2*(Preamble___PLCP)/bitspersecH)+((MacPayLdHdr_H+PktsperSlotCycle*CRC_OvrHd_H)/bitspersecH)+aSIFSTIME_H+(ACK/bitspersecH))</f>
        <v>8.327274545454545E-05</v>
      </c>
      <c r="D90" s="253"/>
      <c r="F90" s="92" t="s">
        <v>85</v>
      </c>
      <c r="G90" s="98">
        <f>Preamble___PLCP</f>
        <v>616</v>
      </c>
      <c r="H90" s="94">
        <f>G90/bitspersecH</f>
        <v>2.8E-05</v>
      </c>
      <c r="I90" s="94">
        <f t="shared" si="23"/>
        <v>0.020857727509090915</v>
      </c>
      <c r="K90" s="92" t="s">
        <v>162</v>
      </c>
      <c r="L90" s="93"/>
      <c r="M90" s="94">
        <f>RxTx_time</f>
        <v>5E-06</v>
      </c>
      <c r="N90" s="94">
        <f t="shared" si="10"/>
        <v>0.025821727418181825</v>
      </c>
    </row>
    <row r="91" spans="1:14" ht="12.75">
      <c r="A91" s="54"/>
      <c r="B91" s="251"/>
      <c r="C91" s="43"/>
      <c r="D91" s="252"/>
      <c r="F91" s="92" t="s">
        <v>185</v>
      </c>
      <c r="G91" s="98">
        <f>MacPayLdHdr_H+(PktsperSlotCycle*CRC_OvrHd_H)</f>
        <v>64</v>
      </c>
      <c r="H91" s="94">
        <f>G91/bitspersecH</f>
        <v>2.9090909090909093E-06</v>
      </c>
      <c r="I91" s="94">
        <f>I90+H91+((PktsperSlotCycle*Async__Payload*8)/bitspersecH)</f>
        <v>0.02251227296363637</v>
      </c>
      <c r="K91" s="92" t="s">
        <v>85</v>
      </c>
      <c r="L91" s="98">
        <f>Preamble___PLCP</f>
        <v>616</v>
      </c>
      <c r="M91" s="94">
        <f>L91/bitspersecH</f>
        <v>2.8E-05</v>
      </c>
      <c r="N91" s="94">
        <f t="shared" si="10"/>
        <v>0.025849727418181825</v>
      </c>
    </row>
    <row r="92" spans="1:14" ht="12.75">
      <c r="A92" s="54"/>
      <c r="B92" s="130" t="s">
        <v>194</v>
      </c>
      <c r="C92" s="43">
        <f>PktsperSlotCycle*Async__Payload*8/bitspersecH</f>
        <v>0.0016516363636363636</v>
      </c>
      <c r="D92" s="252"/>
      <c r="F92" s="92" t="s">
        <v>56</v>
      </c>
      <c r="G92" s="98"/>
      <c r="H92" s="94">
        <f>aSIFSTIME_H</f>
        <v>1E-05</v>
      </c>
      <c r="I92" s="94">
        <f aca="true" t="shared" si="24" ref="I92:I97">I91+H92</f>
        <v>0.022522272963636368</v>
      </c>
      <c r="K92" s="92" t="s">
        <v>195</v>
      </c>
      <c r="L92" s="98">
        <f>MacPayLdHdr_H+(PktsperSlotCycle*CRC_OvrHd_H)</f>
        <v>64</v>
      </c>
      <c r="M92" s="94">
        <f>L92/bitspersecH</f>
        <v>2.9090909090909093E-06</v>
      </c>
      <c r="N92" s="94">
        <f>N91+M92+((PktsperSlotCycle*Async__Payload*8)/bitspersecH)</f>
        <v>0.02750427287272728</v>
      </c>
    </row>
    <row r="93" spans="1:14" ht="12.75">
      <c r="A93" s="54"/>
      <c r="B93" s="251"/>
      <c r="C93" s="35"/>
      <c r="D93" s="252"/>
      <c r="F93" s="92" t="s">
        <v>85</v>
      </c>
      <c r="G93" s="98">
        <f>Preamble___PLCP</f>
        <v>616</v>
      </c>
      <c r="H93" s="94">
        <f>G93/bitspersecH</f>
        <v>2.8E-05</v>
      </c>
      <c r="I93" s="94">
        <f t="shared" si="24"/>
        <v>0.02255027296363637</v>
      </c>
      <c r="K93" s="92" t="s">
        <v>56</v>
      </c>
      <c r="L93" s="98"/>
      <c r="M93" s="94">
        <f>aSIFSTIME_H</f>
        <v>1E-05</v>
      </c>
      <c r="N93" s="94">
        <f t="shared" si="10"/>
        <v>0.02751427287272728</v>
      </c>
    </row>
    <row r="94" spans="1:14" ht="12.75">
      <c r="A94" s="54" t="s">
        <v>196</v>
      </c>
      <c r="B94" s="251"/>
      <c r="C94" s="35"/>
      <c r="D94" s="252"/>
      <c r="F94" s="92" t="s">
        <v>165</v>
      </c>
      <c r="G94" s="98">
        <f>ACK</f>
        <v>78</v>
      </c>
      <c r="H94" s="94">
        <f>G94/bitspersecH</f>
        <v>3.5454545454545454E-06</v>
      </c>
      <c r="I94" s="94">
        <f t="shared" si="24"/>
        <v>0.022553818418181822</v>
      </c>
      <c r="K94" s="92" t="s">
        <v>85</v>
      </c>
      <c r="L94" s="98">
        <f>Preamble___PLCP</f>
        <v>616</v>
      </c>
      <c r="M94" s="94">
        <f>L94/bitspersecH</f>
        <v>2.8E-05</v>
      </c>
      <c r="N94" s="94">
        <f t="shared" si="10"/>
        <v>0.02754227287272728</v>
      </c>
    </row>
    <row r="95" spans="1:14" ht="12.75">
      <c r="A95" s="54"/>
      <c r="B95" s="251" t="s">
        <v>197</v>
      </c>
      <c r="C95" s="362">
        <f>MacPayLd_TimeH/(MacPayLd_TimeH+MacProtocol_HdrOvrHdTimeH)</f>
        <v>0.9520016668203556</v>
      </c>
      <c r="D95" s="252"/>
      <c r="F95" s="99" t="s">
        <v>313</v>
      </c>
      <c r="G95" s="93"/>
      <c r="H95" s="94">
        <f>Mslot__Time</f>
        <v>5.8182E-06</v>
      </c>
      <c r="I95" s="94">
        <f t="shared" si="24"/>
        <v>0.022559636618181823</v>
      </c>
      <c r="K95" s="101" t="s">
        <v>169</v>
      </c>
      <c r="L95" s="102">
        <f>ACK</f>
        <v>78</v>
      </c>
      <c r="M95" s="103">
        <f>L95/bitspersecH</f>
        <v>3.5454545454545454E-06</v>
      </c>
      <c r="N95" s="94">
        <f t="shared" si="10"/>
        <v>0.027545818327272733</v>
      </c>
    </row>
    <row r="96" spans="1:15" ht="12.75">
      <c r="A96" s="132" t="s">
        <v>198</v>
      </c>
      <c r="B96" s="251"/>
      <c r="C96" s="27"/>
      <c r="D96" s="252"/>
      <c r="F96" s="92" t="s">
        <v>162</v>
      </c>
      <c r="G96" s="93"/>
      <c r="H96" s="94">
        <f>RxTx_time</f>
        <v>5E-06</v>
      </c>
      <c r="I96" s="94">
        <f>I95+H96</f>
        <v>0.022564636618181824</v>
      </c>
      <c r="L96" s="121"/>
      <c r="M96" s="28"/>
      <c r="N96" s="28"/>
      <c r="O96" s="18"/>
    </row>
    <row r="97" spans="1:14" ht="12.75">
      <c r="A97" s="55"/>
      <c r="B97" s="255" t="s">
        <v>199</v>
      </c>
      <c r="C97" s="256">
        <f>MacPayLd_TimeH/(MacPayLd_TimeH+MacProtocol_HdrOvrHdTimeH)*bitspersecH</f>
        <v>20944036.670047823</v>
      </c>
      <c r="D97" s="257"/>
      <c r="E97" s="46"/>
      <c r="F97" s="92" t="s">
        <v>85</v>
      </c>
      <c r="G97" s="98">
        <f>Preamble___PLCP</f>
        <v>616</v>
      </c>
      <c r="H97" s="94">
        <f>G97/bitspersecH</f>
        <v>2.8E-05</v>
      </c>
      <c r="I97" s="94">
        <f t="shared" si="24"/>
        <v>0.022592636618181824</v>
      </c>
      <c r="L97" s="134"/>
      <c r="M97" s="135"/>
      <c r="N97" s="135"/>
    </row>
    <row r="98" spans="1:14" ht="12.75">
      <c r="A98" s="27"/>
      <c r="B98" s="121"/>
      <c r="C98" s="122"/>
      <c r="D98" s="123"/>
      <c r="E98" s="46"/>
      <c r="F98" s="92" t="s">
        <v>191</v>
      </c>
      <c r="G98" s="98">
        <f>MacPayLdHdr_H+(PktsperSlotCycle*CRC_OvrHd_H)</f>
        <v>64</v>
      </c>
      <c r="H98" s="94">
        <f>G98/bitspersecH</f>
        <v>2.9090909090909093E-06</v>
      </c>
      <c r="I98" s="94">
        <f>I97+H98+((PktsperSlotCycle*Async__Payload*8)/bitspersecH)</f>
        <v>0.024247182072727278</v>
      </c>
      <c r="K98" s="6" t="s">
        <v>180</v>
      </c>
      <c r="L98" s="107"/>
      <c r="M98" s="108">
        <f>SUM(M4:M95)</f>
        <v>0.00111963650909091</v>
      </c>
      <c r="N98" s="7" t="s">
        <v>104</v>
      </c>
    </row>
    <row r="99" spans="1:14" ht="12.75">
      <c r="A99" s="27"/>
      <c r="B99" s="121"/>
      <c r="C99" s="122"/>
      <c r="D99" s="123"/>
      <c r="E99" s="46"/>
      <c r="F99" s="92" t="s">
        <v>56</v>
      </c>
      <c r="G99" s="98"/>
      <c r="H99" s="94">
        <f>aSIFSTIME_H</f>
        <v>1E-05</v>
      </c>
      <c r="I99" s="94">
        <f aca="true" t="shared" si="25" ref="I99:I104">I98+H99</f>
        <v>0.024257182072727278</v>
      </c>
      <c r="K99" s="23" t="s">
        <v>182</v>
      </c>
      <c r="L99" s="138"/>
      <c r="M99" s="108">
        <f>L102/bitspersecH</f>
        <v>0.026426181818181817</v>
      </c>
      <c r="N99" s="7" t="s">
        <v>104</v>
      </c>
    </row>
    <row r="100" spans="1:14" ht="12.75">
      <c r="A100" s="136" t="s">
        <v>200</v>
      </c>
      <c r="B100" s="121"/>
      <c r="C100" s="137"/>
      <c r="D100" s="123"/>
      <c r="E100" s="46"/>
      <c r="F100" s="92" t="s">
        <v>85</v>
      </c>
      <c r="G100" s="98">
        <f>Preamble___PLCP</f>
        <v>616</v>
      </c>
      <c r="H100" s="94">
        <f>G100/bitspersecH</f>
        <v>2.8E-05</v>
      </c>
      <c r="I100" s="94">
        <f t="shared" si="25"/>
        <v>0.024285182072727278</v>
      </c>
      <c r="K100" s="23" t="s">
        <v>183</v>
      </c>
      <c r="L100" s="138"/>
      <c r="M100" s="108">
        <f>M98+M99</f>
        <v>0.027545818327272726</v>
      </c>
      <c r="N100" s="108" t="s">
        <v>104</v>
      </c>
    </row>
    <row r="101" spans="1:14" ht="12.75">
      <c r="A101" s="27"/>
      <c r="B101" s="121"/>
      <c r="C101" s="122"/>
      <c r="D101" s="123"/>
      <c r="F101" s="92" t="s">
        <v>167</v>
      </c>
      <c r="G101" s="98">
        <f>ACK</f>
        <v>78</v>
      </c>
      <c r="H101" s="94">
        <f>G101/bitspersecH</f>
        <v>3.5454545454545454E-06</v>
      </c>
      <c r="I101" s="94">
        <f>I100+H101</f>
        <v>0.024288727527272732</v>
      </c>
      <c r="K101" s="23" t="s">
        <v>184</v>
      </c>
      <c r="L101" s="138">
        <f>SUM(L4:L95)</f>
        <v>19208</v>
      </c>
      <c r="M101" s="7"/>
      <c r="N101" s="108"/>
    </row>
    <row r="102" spans="1:14" ht="13.5" thickBot="1">
      <c r="A102" s="75" t="s">
        <v>201</v>
      </c>
      <c r="B102" s="139"/>
      <c r="C102" s="78"/>
      <c r="D102" s="123"/>
      <c r="F102" s="99" t="s">
        <v>313</v>
      </c>
      <c r="G102" s="93"/>
      <c r="H102" s="94">
        <f>Mslot__Time</f>
        <v>5.8182E-06</v>
      </c>
      <c r="I102" s="94">
        <f t="shared" si="25"/>
        <v>0.024294545727272732</v>
      </c>
      <c r="K102" s="142" t="s">
        <v>81</v>
      </c>
      <c r="L102" s="143">
        <f>(COUNTIF(K4:K95,"Data_*")*(PktsperSlotCycle*Async__Payload*8))+(COUNTIF(K4:K95,"IsocDat_*")*(PktsperSlotCycle*Isoc__Payload*8))</f>
        <v>581376</v>
      </c>
      <c r="M102" s="144"/>
      <c r="N102" s="145"/>
    </row>
    <row r="103" spans="1:14" ht="13.5" thickTop="1">
      <c r="A103" s="140"/>
      <c r="B103" s="141"/>
      <c r="C103" s="140"/>
      <c r="D103" s="123"/>
      <c r="F103" s="92" t="s">
        <v>162</v>
      </c>
      <c r="G103" s="93"/>
      <c r="H103" s="94">
        <f>RxTx_time</f>
        <v>5E-06</v>
      </c>
      <c r="I103" s="94">
        <f t="shared" si="25"/>
        <v>0.024299545727272734</v>
      </c>
      <c r="K103" s="148" t="s">
        <v>203</v>
      </c>
      <c r="L103" s="149">
        <f>L101/L102</f>
        <v>0.033038859533245264</v>
      </c>
      <c r="M103" s="150"/>
      <c r="N103" s="150"/>
    </row>
    <row r="104" spans="1:14" ht="12.75">
      <c r="A104" s="107" t="s">
        <v>202</v>
      </c>
      <c r="B104" s="146">
        <v>22000000</v>
      </c>
      <c r="C104" s="147" t="s">
        <v>188</v>
      </c>
      <c r="D104" s="123"/>
      <c r="F104" s="92" t="s">
        <v>85</v>
      </c>
      <c r="G104" s="98">
        <f>Preamble___PLCP</f>
        <v>616</v>
      </c>
      <c r="H104" s="94">
        <f>G104/bitspersecH</f>
        <v>2.8E-05</v>
      </c>
      <c r="I104" s="94">
        <f t="shared" si="25"/>
        <v>0.024327545727272734</v>
      </c>
      <c r="K104" s="152"/>
      <c r="L104" s="153"/>
      <c r="M104" s="154"/>
      <c r="N104" s="155"/>
    </row>
    <row r="105" spans="1:15" ht="12.75">
      <c r="A105" s="6"/>
      <c r="B105" s="107"/>
      <c r="C105" s="147"/>
      <c r="D105" s="151"/>
      <c r="F105" s="92" t="s">
        <v>195</v>
      </c>
      <c r="G105" s="98">
        <f>MacPayLdHdr_H+(PktsperSlotCycle*CRC_OvrHd_H)</f>
        <v>64</v>
      </c>
      <c r="H105" s="94">
        <f>G105/bitspersecH</f>
        <v>2.9090909090909093E-06</v>
      </c>
      <c r="I105" s="94">
        <f>I104+H105+((PktsperSlotCycle*Async__Payload*8)/bitspersecH)</f>
        <v>0.025982091181818188</v>
      </c>
      <c r="K105" s="110" t="s">
        <v>187</v>
      </c>
      <c r="L105" s="107"/>
      <c r="M105" s="370">
        <f>M99/M100</f>
        <v>0.9593536668328938</v>
      </c>
      <c r="N105" s="157"/>
      <c r="O105" s="18"/>
    </row>
    <row r="106" spans="1:14" ht="12.75">
      <c r="A106" s="156" t="s">
        <v>204</v>
      </c>
      <c r="B106" s="146">
        <v>1E-05</v>
      </c>
      <c r="C106" s="147" t="s">
        <v>104</v>
      </c>
      <c r="D106" s="123"/>
      <c r="F106" s="92" t="s">
        <v>56</v>
      </c>
      <c r="G106" s="98"/>
      <c r="H106" s="94">
        <f>aSIFSTIME_H</f>
        <v>1E-05</v>
      </c>
      <c r="I106" s="94">
        <f>I105+H106</f>
        <v>0.025992091181818187</v>
      </c>
      <c r="K106" s="110" t="s">
        <v>86</v>
      </c>
      <c r="L106" s="107"/>
      <c r="M106" s="119">
        <f>bitspersecH*M105</f>
        <v>21105780.670323662</v>
      </c>
      <c r="N106" s="119" t="s">
        <v>188</v>
      </c>
    </row>
    <row r="107" spans="1:14" ht="12.75">
      <c r="A107" s="156" t="s">
        <v>205</v>
      </c>
      <c r="B107" s="146">
        <v>5E-06</v>
      </c>
      <c r="C107" s="147" t="s">
        <v>104</v>
      </c>
      <c r="D107" s="123"/>
      <c r="F107" s="92" t="s">
        <v>85</v>
      </c>
      <c r="G107" s="98">
        <f>Preamble___PLCP</f>
        <v>616</v>
      </c>
      <c r="H107" s="94">
        <f>G107/bitspersecH</f>
        <v>2.8E-05</v>
      </c>
      <c r="I107" s="94">
        <f>I106+H107</f>
        <v>0.026020091181818188</v>
      </c>
      <c r="K107" s="28"/>
      <c r="L107" s="121"/>
      <c r="M107" s="28"/>
      <c r="N107" s="28"/>
    </row>
    <row r="108" spans="1:15" ht="12.75">
      <c r="A108" s="156"/>
      <c r="B108" s="158"/>
      <c r="C108" s="147"/>
      <c r="D108" s="123"/>
      <c r="F108" s="101" t="s">
        <v>169</v>
      </c>
      <c r="G108" s="102">
        <f>ACK</f>
        <v>78</v>
      </c>
      <c r="H108" s="103">
        <f>G108/bitspersecH</f>
        <v>3.5454545454545454E-06</v>
      </c>
      <c r="I108" s="160">
        <f>I107+H108</f>
        <v>0.02602363663636364</v>
      </c>
      <c r="K108" s="23" t="s">
        <v>207</v>
      </c>
      <c r="L108" s="107">
        <f>(COUNTIF(K6:K95,"Data_*")*PktsperSlotCycle)</f>
        <v>36</v>
      </c>
      <c r="M108" s="107">
        <f>(COUNTIF(K6:K95,"Data_*")*Async__Payload*PktsperSlotCycle)</f>
        <v>54504</v>
      </c>
      <c r="N108" s="147" t="s">
        <v>108</v>
      </c>
      <c r="O108" s="161"/>
    </row>
    <row r="109" spans="1:14" ht="13.5" thickBot="1">
      <c r="A109" s="156" t="s">
        <v>206</v>
      </c>
      <c r="B109" s="159">
        <f>0.000025*bitspersecH</f>
        <v>550</v>
      </c>
      <c r="C109" s="147" t="s">
        <v>107</v>
      </c>
      <c r="D109" s="151"/>
      <c r="G109" s="134"/>
      <c r="H109" s="28"/>
      <c r="K109" s="23" t="s">
        <v>209</v>
      </c>
      <c r="L109" s="107">
        <f>((COUNTIF(K6:K95,"IsocDat_*")*PktsperSlotCycle))</f>
        <v>12</v>
      </c>
      <c r="M109" s="107">
        <f>(COUNTIF(K6:K95,"IsocDat_*")*Isoc__Payload*PktsperSlotCycle)</f>
        <v>18168</v>
      </c>
      <c r="N109" s="147" t="s">
        <v>108</v>
      </c>
    </row>
    <row r="110" spans="1:12" ht="14.25" thickBot="1" thickTop="1">
      <c r="A110" s="162" t="s">
        <v>208</v>
      </c>
      <c r="B110" s="163">
        <v>66</v>
      </c>
      <c r="C110" s="164" t="s">
        <v>107</v>
      </c>
      <c r="D110" s="123"/>
      <c r="F110" s="168" t="s">
        <v>180</v>
      </c>
      <c r="G110" s="169"/>
      <c r="H110" s="170">
        <f>SUM(H4:H108)</f>
        <v>0.001249091181818183</v>
      </c>
      <c r="I110" s="171" t="s">
        <v>104</v>
      </c>
      <c r="L110" s="105"/>
    </row>
    <row r="111" spans="1:13" ht="13.5" thickTop="1">
      <c r="A111" s="165" t="s">
        <v>210</v>
      </c>
      <c r="B111" s="166">
        <f>B109+B110</f>
        <v>616</v>
      </c>
      <c r="C111" s="147" t="s">
        <v>107</v>
      </c>
      <c r="D111" s="123"/>
      <c r="E111" s="167"/>
      <c r="F111" s="172" t="s">
        <v>182</v>
      </c>
      <c r="G111" s="173"/>
      <c r="H111" s="174">
        <f>G114/bitspersecH</f>
        <v>0.024774545454545455</v>
      </c>
      <c r="I111" s="175" t="s">
        <v>104</v>
      </c>
      <c r="K111" s="28"/>
      <c r="L111" s="121"/>
      <c r="M111" s="122"/>
    </row>
    <row r="112" spans="1:13" ht="12.75">
      <c r="A112" s="165"/>
      <c r="B112" s="165"/>
      <c r="C112" s="147"/>
      <c r="D112" s="151"/>
      <c r="E112" s="167"/>
      <c r="F112" s="6" t="s">
        <v>183</v>
      </c>
      <c r="G112" s="177"/>
      <c r="H112" s="178">
        <f>H110+H111</f>
        <v>0.026023636636363638</v>
      </c>
      <c r="I112" s="108" t="s">
        <v>104</v>
      </c>
      <c r="K112" s="28"/>
      <c r="L112" s="121"/>
      <c r="M112" s="122"/>
    </row>
    <row r="113" spans="1:12" ht="12.75">
      <c r="A113" s="107" t="s">
        <v>211</v>
      </c>
      <c r="B113" s="158">
        <v>5.8182E-06</v>
      </c>
      <c r="C113" s="147" t="s">
        <v>212</v>
      </c>
      <c r="D113" s="151"/>
      <c r="E113" s="176"/>
      <c r="F113" s="181" t="s">
        <v>184</v>
      </c>
      <c r="G113" s="182">
        <f>SUM(G4:G109)</f>
        <v>20610</v>
      </c>
      <c r="H113" s="183"/>
      <c r="I113" s="184"/>
      <c r="L113" s="105"/>
    </row>
    <row r="114" spans="1:14" ht="13.5" thickBot="1">
      <c r="A114" s="143"/>
      <c r="B114" s="179"/>
      <c r="C114" s="180"/>
      <c r="D114" s="151"/>
      <c r="E114" s="176"/>
      <c r="F114" s="189" t="s">
        <v>81</v>
      </c>
      <c r="G114" s="190">
        <f>(COUNTIF(F4:F108,"Data_*")*PktsperSlotCycle*Async__Payload*8)</f>
        <v>545040</v>
      </c>
      <c r="H114" s="191"/>
      <c r="I114" s="192"/>
      <c r="L114" s="105"/>
      <c r="N114" s="16"/>
    </row>
    <row r="115" spans="1:12" ht="14.25" thickBot="1" thickTop="1">
      <c r="A115" s="185" t="s">
        <v>213</v>
      </c>
      <c r="B115" s="186"/>
      <c r="C115" s="187"/>
      <c r="D115" s="151"/>
      <c r="E115" s="188"/>
      <c r="F115" s="148" t="s">
        <v>203</v>
      </c>
      <c r="G115" s="194">
        <f>G113/G114</f>
        <v>0.03781373844121532</v>
      </c>
      <c r="H115" s="150"/>
      <c r="I115" s="195"/>
      <c r="L115" s="105"/>
    </row>
    <row r="116" spans="1:12" ht="13.5" thickTop="1">
      <c r="A116" s="107" t="s">
        <v>214</v>
      </c>
      <c r="B116" s="193">
        <v>1514</v>
      </c>
      <c r="C116" s="147" t="s">
        <v>108</v>
      </c>
      <c r="D116" s="151"/>
      <c r="E116" s="176"/>
      <c r="F116" s="152"/>
      <c r="G116" s="153"/>
      <c r="H116" s="154"/>
      <c r="L116" s="105"/>
    </row>
    <row r="117" spans="1:12" ht="12.75">
      <c r="A117" s="107" t="s">
        <v>215</v>
      </c>
      <c r="B117" s="193">
        <v>1514</v>
      </c>
      <c r="C117" s="147" t="s">
        <v>108</v>
      </c>
      <c r="D117" s="123"/>
      <c r="E117" s="27"/>
      <c r="F117" s="6" t="s">
        <v>187</v>
      </c>
      <c r="G117" s="107"/>
      <c r="H117" s="370">
        <f>H111/H112</f>
        <v>0.9520016668203556</v>
      </c>
      <c r="I117" s="7"/>
      <c r="L117" s="105"/>
    </row>
    <row r="118" spans="1:14" ht="14.25">
      <c r="A118" s="196" t="s">
        <v>418</v>
      </c>
      <c r="B118" s="197">
        <v>3</v>
      </c>
      <c r="C118" s="180"/>
      <c r="D118" s="123"/>
      <c r="E118" s="28"/>
      <c r="F118" s="6" t="s">
        <v>86</v>
      </c>
      <c r="G118" s="107"/>
      <c r="H118" s="198">
        <f>bitspersecH*H117</f>
        <v>20944036.670047823</v>
      </c>
      <c r="I118" s="7" t="s">
        <v>188</v>
      </c>
      <c r="K118" s="136"/>
      <c r="L118" s="215"/>
      <c r="M118" s="28"/>
      <c r="N118" s="151"/>
    </row>
    <row r="119" spans="1:14" ht="12.75">
      <c r="A119" s="37" t="s">
        <v>113</v>
      </c>
      <c r="B119" s="361"/>
      <c r="C119" s="41"/>
      <c r="D119" s="151"/>
      <c r="E119" s="28"/>
      <c r="F119" s="28"/>
      <c r="G119" s="121"/>
      <c r="H119" s="121"/>
      <c r="K119" s="28"/>
      <c r="L119" s="209"/>
      <c r="M119" s="122"/>
      <c r="N119" s="151"/>
    </row>
    <row r="120" spans="1:14" ht="12.75">
      <c r="A120" s="156" t="s">
        <v>337</v>
      </c>
      <c r="B120" s="193">
        <v>78</v>
      </c>
      <c r="C120" s="147" t="s">
        <v>107</v>
      </c>
      <c r="D120" s="151"/>
      <c r="E120" s="28"/>
      <c r="F120" s="28"/>
      <c r="G120" s="121"/>
      <c r="H120" s="121"/>
      <c r="K120" s="204"/>
      <c r="L120" s="121"/>
      <c r="M120" s="28"/>
      <c r="N120" s="151"/>
    </row>
    <row r="121" spans="1:14" ht="14.25">
      <c r="A121" s="6"/>
      <c r="B121" s="107"/>
      <c r="C121" s="147"/>
      <c r="D121" s="151"/>
      <c r="E121" s="28"/>
      <c r="F121" s="28"/>
      <c r="G121" s="121"/>
      <c r="H121" s="121"/>
      <c r="K121" s="136"/>
      <c r="L121" s="215"/>
      <c r="M121" s="28"/>
      <c r="N121" s="151"/>
    </row>
    <row r="122" spans="1:14" ht="14.25">
      <c r="A122" s="156" t="s">
        <v>216</v>
      </c>
      <c r="B122" s="193">
        <v>16</v>
      </c>
      <c r="C122" s="147" t="s">
        <v>107</v>
      </c>
      <c r="D122" s="151"/>
      <c r="E122" s="28"/>
      <c r="F122" s="28"/>
      <c r="G122" s="121"/>
      <c r="H122" s="121"/>
      <c r="K122" s="204"/>
      <c r="L122" s="215"/>
      <c r="M122" s="131"/>
      <c r="N122" s="151"/>
    </row>
    <row r="123" spans="1:14" ht="12.75">
      <c r="A123" s="156" t="s">
        <v>217</v>
      </c>
      <c r="B123" s="193">
        <v>16</v>
      </c>
      <c r="C123" s="147" t="s">
        <v>107</v>
      </c>
      <c r="D123" s="151"/>
      <c r="G123" s="105"/>
      <c r="H123" s="28"/>
      <c r="K123" s="28"/>
      <c r="L123" s="121"/>
      <c r="M123" s="28"/>
      <c r="N123" s="151"/>
    </row>
    <row r="124" spans="1:14" ht="12.75">
      <c r="A124" s="107" t="s">
        <v>417</v>
      </c>
      <c r="B124" s="193">
        <v>16</v>
      </c>
      <c r="C124" s="147" t="s">
        <v>107</v>
      </c>
      <c r="D124" s="151"/>
      <c r="E124" s="28"/>
      <c r="G124" s="105"/>
      <c r="K124" s="28"/>
      <c r="L124" s="121"/>
      <c r="M124" s="28"/>
      <c r="N124" s="151"/>
    </row>
    <row r="125" spans="2:14" ht="13.5" thickBot="1">
      <c r="B125" s="105"/>
      <c r="D125" s="151"/>
      <c r="E125" s="199"/>
      <c r="F125" s="75" t="s">
        <v>119</v>
      </c>
      <c r="G125" s="76"/>
      <c r="H125" s="76"/>
      <c r="I125" s="282"/>
      <c r="K125" s="28" t="s">
        <v>218</v>
      </c>
      <c r="L125" s="121"/>
      <c r="M125" s="28"/>
      <c r="N125" s="151"/>
    </row>
    <row r="126" spans="1:14" ht="13.5" thickTop="1">
      <c r="A126" s="365"/>
      <c r="B126" s="366"/>
      <c r="C126" s="365"/>
      <c r="D126" s="367"/>
      <c r="E126" s="200"/>
      <c r="F126" s="45" t="s">
        <v>319</v>
      </c>
      <c r="G126" s="28"/>
      <c r="H126" s="122"/>
      <c r="I126" s="46"/>
      <c r="K126" s="28" t="s">
        <v>219</v>
      </c>
      <c r="L126" s="121"/>
      <c r="M126" s="28"/>
      <c r="N126" s="151"/>
    </row>
    <row r="127" spans="1:14" ht="12.75">
      <c r="A127" s="304"/>
      <c r="B127" s="304"/>
      <c r="C127" s="205"/>
      <c r="D127" s="123"/>
      <c r="E127" s="200"/>
      <c r="F127" s="45" t="s">
        <v>220</v>
      </c>
      <c r="G127" s="28"/>
      <c r="H127" s="122"/>
      <c r="I127" s="46"/>
      <c r="K127" s="28" t="s">
        <v>221</v>
      </c>
      <c r="L127" s="121"/>
      <c r="M127" s="28"/>
      <c r="N127" s="151"/>
    </row>
    <row r="128" spans="1:14" ht="12.75">
      <c r="A128" s="204"/>
      <c r="B128" s="121"/>
      <c r="C128" s="199"/>
      <c r="D128" s="151"/>
      <c r="E128" s="200"/>
      <c r="G128" s="28" t="s">
        <v>222</v>
      </c>
      <c r="H128" s="28"/>
      <c r="I128" s="46"/>
      <c r="K128" s="180" t="s">
        <v>223</v>
      </c>
      <c r="L128" s="121"/>
      <c r="M128" s="28"/>
      <c r="N128" s="151"/>
    </row>
    <row r="129" spans="1:14" ht="12.75">
      <c r="A129" s="204"/>
      <c r="B129" s="121"/>
      <c r="C129" s="205"/>
      <c r="D129" s="151"/>
      <c r="E129" s="201"/>
      <c r="G129" s="28" t="s">
        <v>224</v>
      </c>
      <c r="H129" s="28"/>
      <c r="I129" s="46"/>
      <c r="K129" s="28"/>
      <c r="L129" s="121"/>
      <c r="M129" s="28"/>
      <c r="N129" s="151"/>
    </row>
    <row r="130" spans="1:14" ht="12.75">
      <c r="A130" s="204"/>
      <c r="B130" s="121"/>
      <c r="C130" s="205"/>
      <c r="D130" s="151"/>
      <c r="E130" s="201"/>
      <c r="F130" s="45" t="s">
        <v>308</v>
      </c>
      <c r="G130" s="28"/>
      <c r="H130" s="28"/>
      <c r="I130" s="46"/>
      <c r="K130" s="202" t="s">
        <v>225</v>
      </c>
      <c r="L130" s="121"/>
      <c r="M130" s="28"/>
      <c r="N130" s="151"/>
    </row>
    <row r="131" spans="1:14" ht="12.75">
      <c r="A131" s="204"/>
      <c r="B131" s="121"/>
      <c r="C131" s="304"/>
      <c r="D131" s="151"/>
      <c r="E131" s="201"/>
      <c r="F131" s="45" t="s">
        <v>226</v>
      </c>
      <c r="G131" s="28"/>
      <c r="H131" s="28"/>
      <c r="I131" s="46"/>
      <c r="K131" s="202" t="s">
        <v>227</v>
      </c>
      <c r="L131" s="203"/>
      <c r="M131" s="28"/>
      <c r="N131" s="151"/>
    </row>
    <row r="132" spans="1:14" ht="12.75">
      <c r="A132" s="204"/>
      <c r="B132" s="121"/>
      <c r="C132" s="205"/>
      <c r="D132" s="151"/>
      <c r="E132" s="201"/>
      <c r="F132" s="45" t="s">
        <v>228</v>
      </c>
      <c r="G132" s="28"/>
      <c r="H132" s="28"/>
      <c r="I132" s="46"/>
      <c r="K132" s="202"/>
      <c r="L132" s="121"/>
      <c r="M132" s="28"/>
      <c r="N132" s="151"/>
    </row>
    <row r="133" spans="1:14" ht="12.75">
      <c r="A133" s="204"/>
      <c r="B133" s="121"/>
      <c r="C133" s="205"/>
      <c r="D133" s="151"/>
      <c r="E133" s="201"/>
      <c r="F133" s="45" t="s">
        <v>229</v>
      </c>
      <c r="G133" s="28"/>
      <c r="H133" s="28"/>
      <c r="I133" s="46"/>
      <c r="K133" s="202" t="s">
        <v>316</v>
      </c>
      <c r="L133" s="28"/>
      <c r="M133" s="28"/>
      <c r="N133" s="151"/>
    </row>
    <row r="134" spans="1:14" ht="12.75">
      <c r="A134" s="204"/>
      <c r="B134" s="121"/>
      <c r="C134" s="205"/>
      <c r="D134" s="151"/>
      <c r="E134" s="200"/>
      <c r="F134" s="45" t="s">
        <v>230</v>
      </c>
      <c r="G134" s="28"/>
      <c r="H134" s="28"/>
      <c r="I134" s="46"/>
      <c r="K134" s="202"/>
      <c r="L134" s="28"/>
      <c r="M134" s="28"/>
      <c r="N134" s="151"/>
    </row>
    <row r="135" spans="1:14" ht="12.75">
      <c r="A135" s="204"/>
      <c r="B135" s="121"/>
      <c r="C135" s="368"/>
      <c r="D135" s="151"/>
      <c r="E135" s="200"/>
      <c r="F135" s="45" t="s">
        <v>231</v>
      </c>
      <c r="G135" s="28"/>
      <c r="H135" s="28"/>
      <c r="I135" s="46"/>
      <c r="K135" s="202"/>
      <c r="L135" s="28"/>
      <c r="M135" s="28"/>
      <c r="N135" s="151"/>
    </row>
    <row r="136" spans="1:14" ht="12.75">
      <c r="A136" s="204"/>
      <c r="B136" s="121"/>
      <c r="C136" s="369"/>
      <c r="D136" s="151"/>
      <c r="E136" s="200"/>
      <c r="F136" s="45" t="s">
        <v>123</v>
      </c>
      <c r="G136" s="28"/>
      <c r="H136" s="28"/>
      <c r="I136" s="46"/>
      <c r="K136" s="202"/>
      <c r="L136" s="121"/>
      <c r="M136" s="28"/>
      <c r="N136" s="151"/>
    </row>
    <row r="137" spans="1:14" ht="12.75">
      <c r="A137" s="204"/>
      <c r="B137" s="121"/>
      <c r="C137" s="205"/>
      <c r="D137" s="151"/>
      <c r="E137" s="200"/>
      <c r="F137" s="45" t="s">
        <v>232</v>
      </c>
      <c r="G137" s="28"/>
      <c r="H137" s="28"/>
      <c r="I137" s="46"/>
      <c r="K137" s="202"/>
      <c r="L137" s="28"/>
      <c r="M137" s="28"/>
      <c r="N137" s="151"/>
    </row>
    <row r="138" spans="1:14" ht="15">
      <c r="A138" s="204"/>
      <c r="B138" s="121"/>
      <c r="C138" s="205"/>
      <c r="D138" s="151"/>
      <c r="E138" s="200"/>
      <c r="F138" s="45" t="s">
        <v>233</v>
      </c>
      <c r="G138" s="28"/>
      <c r="H138" s="28"/>
      <c r="I138" s="46"/>
      <c r="K138" s="136"/>
      <c r="L138" s="206"/>
      <c r="M138" s="207"/>
      <c r="N138" s="208"/>
    </row>
    <row r="139" spans="1:14" ht="15">
      <c r="A139" s="151"/>
      <c r="B139" s="365"/>
      <c r="C139" s="151"/>
      <c r="D139" s="230"/>
      <c r="E139" s="200"/>
      <c r="F139" s="45" t="s">
        <v>125</v>
      </c>
      <c r="G139" s="28"/>
      <c r="H139" s="28"/>
      <c r="I139" s="46"/>
      <c r="K139" s="136"/>
      <c r="L139" s="206"/>
      <c r="M139" s="207"/>
      <c r="N139" s="208"/>
    </row>
    <row r="140" spans="1:14" ht="15">
      <c r="A140" s="208"/>
      <c r="B140" s="222"/>
      <c r="C140" s="199"/>
      <c r="D140" s="123"/>
      <c r="E140" s="200"/>
      <c r="F140" s="45" t="s">
        <v>126</v>
      </c>
      <c r="G140" s="28"/>
      <c r="H140" s="28"/>
      <c r="I140" s="46"/>
      <c r="K140" s="209"/>
      <c r="L140" s="206"/>
      <c r="M140" s="207"/>
      <c r="N140" s="208"/>
    </row>
    <row r="141" spans="1:14" ht="14.25">
      <c r="A141" s="208"/>
      <c r="B141" s="222"/>
      <c r="C141" s="213"/>
      <c r="D141" s="213"/>
      <c r="E141" s="200"/>
      <c r="F141" s="45" t="s">
        <v>127</v>
      </c>
      <c r="G141" s="122"/>
      <c r="H141" s="28"/>
      <c r="I141" s="46"/>
      <c r="K141" s="28"/>
      <c r="L141" s="210"/>
      <c r="M141" s="211"/>
      <c r="N141" s="28"/>
    </row>
    <row r="142" spans="1:14" ht="12.75">
      <c r="A142" s="208"/>
      <c r="B142" s="222"/>
      <c r="C142" s="213"/>
      <c r="D142" s="213"/>
      <c r="E142" s="200"/>
      <c r="F142" s="212" t="s">
        <v>146</v>
      </c>
      <c r="G142" s="122"/>
      <c r="H142" s="28"/>
      <c r="I142" s="46"/>
      <c r="J142" s="18"/>
      <c r="K142" s="202"/>
      <c r="L142" s="121"/>
      <c r="M142" s="28"/>
      <c r="N142" s="151"/>
    </row>
    <row r="143" spans="1:15" ht="14.25">
      <c r="A143" s="208"/>
      <c r="B143" s="222"/>
      <c r="C143" s="213"/>
      <c r="D143" s="213"/>
      <c r="F143" s="214" t="s">
        <v>128</v>
      </c>
      <c r="G143" s="122"/>
      <c r="H143" s="28"/>
      <c r="I143" s="46"/>
      <c r="K143" s="204"/>
      <c r="L143" s="215"/>
      <c r="M143" s="28"/>
      <c r="N143" s="151"/>
      <c r="O143" s="216"/>
    </row>
    <row r="144" spans="1:14" ht="14.25">
      <c r="A144" s="208"/>
      <c r="B144" s="222"/>
      <c r="C144" s="213"/>
      <c r="D144" s="213"/>
      <c r="F144" s="217" t="s">
        <v>129</v>
      </c>
      <c r="G144" s="28"/>
      <c r="H144" s="28"/>
      <c r="I144" s="46"/>
      <c r="K144" s="204"/>
      <c r="L144" s="215"/>
      <c r="M144" s="28"/>
      <c r="N144" s="151"/>
    </row>
    <row r="145" spans="1:14" ht="14.25">
      <c r="A145" s="208"/>
      <c r="B145" s="222"/>
      <c r="C145" s="213"/>
      <c r="D145" s="213"/>
      <c r="F145" s="217" t="s">
        <v>130</v>
      </c>
      <c r="G145" s="28"/>
      <c r="H145" s="28"/>
      <c r="I145" s="46"/>
      <c r="K145" s="218"/>
      <c r="L145" s="210"/>
      <c r="M145" s="28"/>
      <c r="N145" s="151"/>
    </row>
    <row r="146" spans="1:15" ht="14.25">
      <c r="A146" s="269"/>
      <c r="B146" s="126"/>
      <c r="C146" s="127"/>
      <c r="D146" s="126"/>
      <c r="F146" s="217" t="s">
        <v>131</v>
      </c>
      <c r="G146" s="28"/>
      <c r="H146" s="28"/>
      <c r="I146" s="46"/>
      <c r="K146" s="204"/>
      <c r="L146" s="210"/>
      <c r="M146" s="129"/>
      <c r="N146" s="151"/>
      <c r="O146" s="18"/>
    </row>
    <row r="147" spans="1:14" ht="12.75">
      <c r="A147" s="28"/>
      <c r="B147" s="121"/>
      <c r="C147" s="28"/>
      <c r="D147" s="151"/>
      <c r="F147" s="219"/>
      <c r="G147" s="220"/>
      <c r="H147" s="221"/>
      <c r="I147" s="49"/>
      <c r="K147" s="204"/>
      <c r="L147" s="121"/>
      <c r="M147" s="28"/>
      <c r="N147" s="151"/>
    </row>
    <row r="148" spans="1:14" ht="14.25">
      <c r="A148" s="28"/>
      <c r="B148" s="121"/>
      <c r="C148" s="122"/>
      <c r="D148" s="151"/>
      <c r="F148" s="151"/>
      <c r="G148" s="222"/>
      <c r="H148" s="213"/>
      <c r="K148" s="204"/>
      <c r="L148" s="215"/>
      <c r="M148" s="28"/>
      <c r="N148" s="151"/>
    </row>
    <row r="149" spans="1:14" ht="12.75">
      <c r="A149" s="28"/>
      <c r="B149" s="121"/>
      <c r="C149" s="129"/>
      <c r="D149" s="151"/>
      <c r="F149" s="151"/>
      <c r="G149" s="222"/>
      <c r="H149" s="151"/>
      <c r="K149" s="28"/>
      <c r="L149" s="209"/>
      <c r="M149" s="129"/>
      <c r="N149" s="151"/>
    </row>
    <row r="150" spans="1:14" ht="12.75">
      <c r="A150" s="28"/>
      <c r="B150" s="121"/>
      <c r="C150" s="28"/>
      <c r="D150" s="151"/>
      <c r="F150" s="151"/>
      <c r="G150" s="222"/>
      <c r="H150" s="151"/>
      <c r="I150" s="151"/>
      <c r="K150" s="204"/>
      <c r="L150" s="121"/>
      <c r="M150" s="28"/>
      <c r="N150" s="151"/>
    </row>
    <row r="151" spans="1:14" ht="14.25">
      <c r="A151" s="28"/>
      <c r="B151" s="121"/>
      <c r="C151" s="129"/>
      <c r="D151" s="151"/>
      <c r="F151" s="223"/>
      <c r="G151" s="222"/>
      <c r="H151" s="151"/>
      <c r="I151" s="151"/>
      <c r="K151" s="204"/>
      <c r="L151" s="215"/>
      <c r="M151" s="28"/>
      <c r="N151" s="151"/>
    </row>
    <row r="152" spans="1:14" ht="14.25">
      <c r="A152" s="28"/>
      <c r="B152" s="121"/>
      <c r="C152" s="129"/>
      <c r="D152" s="151"/>
      <c r="F152" s="151"/>
      <c r="G152" s="222"/>
      <c r="H152" s="151"/>
      <c r="I152" s="151"/>
      <c r="K152" s="204"/>
      <c r="L152" s="215"/>
      <c r="M152" s="131"/>
      <c r="N152" s="151"/>
    </row>
    <row r="153" spans="1:14" ht="12.75">
      <c r="A153" s="28"/>
      <c r="B153" s="121"/>
      <c r="C153" s="28"/>
      <c r="D153" s="151"/>
      <c r="F153" s="151"/>
      <c r="G153" s="222"/>
      <c r="H153" s="213"/>
      <c r="I153" s="151"/>
      <c r="K153" s="28"/>
      <c r="L153" s="121"/>
      <c r="M153" s="28"/>
      <c r="N153" s="151"/>
    </row>
    <row r="154" spans="1:12" ht="12.75">
      <c r="A154" s="28"/>
      <c r="B154" s="121"/>
      <c r="C154" s="129"/>
      <c r="D154" s="151"/>
      <c r="F154" s="151"/>
      <c r="G154" s="222"/>
      <c r="H154" s="151"/>
      <c r="I154" s="151"/>
      <c r="L154" s="105"/>
    </row>
    <row r="155" spans="1:12" ht="12.75">
      <c r="A155" s="28"/>
      <c r="B155" s="121"/>
      <c r="C155" s="28"/>
      <c r="D155" s="151"/>
      <c r="F155" s="151"/>
      <c r="G155" s="222"/>
      <c r="H155" s="151"/>
      <c r="I155" s="151"/>
      <c r="L155" s="105"/>
    </row>
    <row r="156" spans="1:12" ht="12.75">
      <c r="A156" s="28"/>
      <c r="B156" s="121"/>
      <c r="C156" s="28"/>
      <c r="D156" s="151"/>
      <c r="F156" s="151"/>
      <c r="G156" s="222"/>
      <c r="H156" s="213"/>
      <c r="I156" s="151"/>
      <c r="L156" s="105"/>
    </row>
    <row r="157" spans="1:12" ht="12.75">
      <c r="A157" s="28"/>
      <c r="B157" s="121"/>
      <c r="C157" s="129"/>
      <c r="D157" s="151"/>
      <c r="F157" s="151"/>
      <c r="G157" s="222"/>
      <c r="H157" s="151"/>
      <c r="I157" s="151"/>
      <c r="L157" s="105"/>
    </row>
    <row r="158" spans="1:12" ht="12.75">
      <c r="A158" s="28"/>
      <c r="B158" s="121"/>
      <c r="C158" s="28"/>
      <c r="D158" s="151"/>
      <c r="F158" s="224"/>
      <c r="G158" s="222"/>
      <c r="H158" s="151"/>
      <c r="I158" s="151"/>
      <c r="L158" s="105"/>
    </row>
    <row r="159" spans="1:12" ht="12.75">
      <c r="A159" s="28"/>
      <c r="B159" s="121"/>
      <c r="C159" s="28"/>
      <c r="D159" s="151"/>
      <c r="F159" s="224"/>
      <c r="G159" s="222"/>
      <c r="H159" s="151"/>
      <c r="I159" s="151"/>
      <c r="L159" s="105"/>
    </row>
    <row r="160" spans="1:12" ht="12.75">
      <c r="A160" s="28"/>
      <c r="B160" s="121"/>
      <c r="C160" s="129"/>
      <c r="D160" s="151"/>
      <c r="F160" s="224"/>
      <c r="G160" s="151"/>
      <c r="H160" s="151"/>
      <c r="I160" s="151"/>
      <c r="L160" s="105"/>
    </row>
    <row r="161" spans="1:12" ht="12.75">
      <c r="A161" s="28"/>
      <c r="B161" s="121"/>
      <c r="C161" s="28"/>
      <c r="D161" s="151"/>
      <c r="F161" s="224"/>
      <c r="G161" s="222"/>
      <c r="H161" s="151"/>
      <c r="I161" s="151"/>
      <c r="L161" s="105"/>
    </row>
    <row r="162" spans="1:12" ht="12.75">
      <c r="A162" s="202"/>
      <c r="B162" s="121"/>
      <c r="C162" s="28"/>
      <c r="D162" s="151"/>
      <c r="F162" s="224"/>
      <c r="G162" s="151"/>
      <c r="H162" s="151"/>
      <c r="I162" s="151"/>
      <c r="L162" s="105"/>
    </row>
    <row r="163" spans="1:12" ht="15">
      <c r="A163" s="202"/>
      <c r="B163" s="121"/>
      <c r="C163" s="28"/>
      <c r="D163" s="151"/>
      <c r="F163" s="225"/>
      <c r="G163" s="226"/>
      <c r="H163" s="227"/>
      <c r="I163" s="151"/>
      <c r="L163" s="105"/>
    </row>
    <row r="164" spans="1:12" ht="15">
      <c r="A164" s="202"/>
      <c r="B164" s="28"/>
      <c r="C164" s="28"/>
      <c r="D164" s="151"/>
      <c r="F164" s="225"/>
      <c r="G164" s="226"/>
      <c r="H164" s="227"/>
      <c r="I164" s="151"/>
      <c r="L164" s="105"/>
    </row>
    <row r="165" spans="1:12" ht="15">
      <c r="A165" s="202"/>
      <c r="B165" s="121"/>
      <c r="C165" s="28"/>
      <c r="D165" s="151"/>
      <c r="F165" s="228"/>
      <c r="G165" s="226"/>
      <c r="H165" s="227"/>
      <c r="I165" s="151"/>
      <c r="L165" s="105"/>
    </row>
    <row r="166" spans="1:12" ht="12.75">
      <c r="A166" s="202"/>
      <c r="B166" s="28"/>
      <c r="C166" s="28"/>
      <c r="D166" s="151"/>
      <c r="F166" s="151"/>
      <c r="G166" s="229"/>
      <c r="H166" s="230"/>
      <c r="I166" s="208"/>
      <c r="L166" s="105"/>
    </row>
    <row r="167" spans="1:12" ht="15">
      <c r="A167" s="136"/>
      <c r="B167" s="206"/>
      <c r="C167" s="207"/>
      <c r="D167" s="208"/>
      <c r="F167" s="224"/>
      <c r="G167" s="222"/>
      <c r="H167" s="151"/>
      <c r="I167" s="208"/>
      <c r="L167" s="105"/>
    </row>
    <row r="168" spans="1:12" ht="15">
      <c r="A168" s="136"/>
      <c r="B168" s="206"/>
      <c r="C168" s="207"/>
      <c r="D168" s="208"/>
      <c r="F168" s="151"/>
      <c r="G168" s="231"/>
      <c r="H168" s="151"/>
      <c r="I168" s="208"/>
      <c r="L168" s="105"/>
    </row>
    <row r="169" spans="1:12" ht="15">
      <c r="A169" s="360"/>
      <c r="B169" s="206"/>
      <c r="C169" s="207"/>
      <c r="D169" s="208"/>
      <c r="F169" s="208"/>
      <c r="G169" s="232"/>
      <c r="H169" s="151"/>
      <c r="I169" s="151"/>
      <c r="L169" s="105"/>
    </row>
    <row r="170" spans="1:12" ht="14.25">
      <c r="A170" s="28"/>
      <c r="B170" s="210"/>
      <c r="C170" s="211"/>
      <c r="D170" s="28"/>
      <c r="F170" s="233"/>
      <c r="G170" s="234"/>
      <c r="H170" s="151"/>
      <c r="I170" s="151"/>
      <c r="L170" s="105"/>
    </row>
    <row r="171" spans="1:12" ht="12.75">
      <c r="A171" s="202"/>
      <c r="B171" s="121"/>
      <c r="C171" s="28"/>
      <c r="D171" s="151"/>
      <c r="F171" s="208"/>
      <c r="G171" s="229"/>
      <c r="H171" s="213"/>
      <c r="I171" s="151"/>
      <c r="L171" s="105"/>
    </row>
    <row r="172" spans="1:12" ht="12.75">
      <c r="A172" s="28"/>
      <c r="B172" s="209"/>
      <c r="C172" s="28"/>
      <c r="D172" s="151"/>
      <c r="F172" s="208"/>
      <c r="G172" s="222"/>
      <c r="H172" s="151"/>
      <c r="I172" s="151"/>
      <c r="L172" s="105"/>
    </row>
    <row r="173" spans="1:12" ht="14.25">
      <c r="A173" s="204"/>
      <c r="B173" s="215"/>
      <c r="C173" s="28"/>
      <c r="D173" s="151"/>
      <c r="F173" s="225"/>
      <c r="G173" s="232"/>
      <c r="H173" s="151"/>
      <c r="I173" s="151"/>
      <c r="L173" s="105"/>
    </row>
    <row r="174" spans="1:12" ht="14.25">
      <c r="A174" s="218"/>
      <c r="B174" s="210"/>
      <c r="C174" s="28"/>
      <c r="D174" s="151"/>
      <c r="F174" s="151"/>
      <c r="G174" s="231"/>
      <c r="H174" s="213"/>
      <c r="I174" s="151"/>
      <c r="L174" s="105"/>
    </row>
    <row r="175" spans="1:12" ht="14.25">
      <c r="A175" s="204"/>
      <c r="B175" s="210"/>
      <c r="C175" s="129"/>
      <c r="D175" s="151"/>
      <c r="F175" s="208"/>
      <c r="G175" s="222"/>
      <c r="H175" s="151"/>
      <c r="I175" s="151"/>
      <c r="L175" s="105"/>
    </row>
    <row r="176" spans="1:12" ht="14.25">
      <c r="A176" s="204"/>
      <c r="B176" s="121"/>
      <c r="C176" s="28"/>
      <c r="D176" s="151"/>
      <c r="F176" s="225"/>
      <c r="G176" s="232"/>
      <c r="H176" s="151"/>
      <c r="I176" s="151"/>
      <c r="L176" s="105"/>
    </row>
    <row r="177" spans="1:12" ht="14.25">
      <c r="A177" s="136"/>
      <c r="B177" s="215"/>
      <c r="C177" s="28"/>
      <c r="D177" s="151"/>
      <c r="F177" s="208"/>
      <c r="G177" s="231"/>
      <c r="H177" s="235"/>
      <c r="I177" s="151"/>
      <c r="L177" s="105"/>
    </row>
    <row r="178" spans="1:12" ht="12.75">
      <c r="A178" s="28"/>
      <c r="B178" s="209"/>
      <c r="C178" s="122"/>
      <c r="D178" s="151"/>
      <c r="F178" s="151"/>
      <c r="G178" s="222"/>
      <c r="H178" s="151"/>
      <c r="I178" s="151"/>
      <c r="L178" s="105"/>
    </row>
    <row r="179" spans="1:12" ht="12.75">
      <c r="A179" s="204"/>
      <c r="B179" s="121"/>
      <c r="C179" s="28"/>
      <c r="D179" s="151"/>
      <c r="G179" s="105"/>
      <c r="I179" s="151"/>
      <c r="L179" s="105"/>
    </row>
    <row r="180" spans="1:12" ht="14.25">
      <c r="A180" s="136"/>
      <c r="B180" s="215"/>
      <c r="C180" s="28"/>
      <c r="D180" s="151"/>
      <c r="G180" s="105"/>
      <c r="I180" s="151"/>
      <c r="L180" s="105"/>
    </row>
    <row r="181" spans="1:12" ht="14.25">
      <c r="A181" s="204"/>
      <c r="B181" s="215"/>
      <c r="C181" s="131"/>
      <c r="D181" s="151"/>
      <c r="G181" s="105"/>
      <c r="I181" s="151"/>
      <c r="L181" s="105"/>
    </row>
    <row r="182" spans="1:12" ht="12.75">
      <c r="A182" s="28"/>
      <c r="B182" s="121"/>
      <c r="C182" s="28"/>
      <c r="D182" s="151"/>
      <c r="G182" s="105"/>
      <c r="L182" s="105"/>
    </row>
    <row r="183" spans="1:12" ht="12.75">
      <c r="A183" s="28"/>
      <c r="B183" s="121"/>
      <c r="C183" s="28"/>
      <c r="D183" s="151"/>
      <c r="G183" s="105"/>
      <c r="L183" s="105"/>
    </row>
    <row r="184" spans="1:4" ht="12.75">
      <c r="A184" s="28"/>
      <c r="B184" s="121"/>
      <c r="C184" s="28"/>
      <c r="D184" s="151"/>
    </row>
    <row r="185" spans="1:4" ht="12.75">
      <c r="A185" s="28"/>
      <c r="B185" s="28"/>
      <c r="C185" s="28"/>
      <c r="D185" s="28"/>
    </row>
    <row r="186" spans="1:4" ht="12.75">
      <c r="A186" s="28"/>
      <c r="B186" s="28"/>
      <c r="C186" s="28"/>
      <c r="D186" s="28"/>
    </row>
    <row r="187" spans="1:4" ht="12.75">
      <c r="A187" s="28"/>
      <c r="B187" s="28"/>
      <c r="C187" s="28"/>
      <c r="D187" s="28"/>
    </row>
    <row r="188" spans="1:4" ht="12.75">
      <c r="A188" s="28"/>
      <c r="B188" s="28"/>
      <c r="C188" s="28"/>
      <c r="D188" s="28"/>
    </row>
    <row r="189" spans="1:4" ht="12.75">
      <c r="A189" s="28"/>
      <c r="B189" s="28"/>
      <c r="C189" s="28"/>
      <c r="D189" s="28"/>
    </row>
    <row r="190" spans="1:4" ht="12.75">
      <c r="A190" s="28"/>
      <c r="B190" s="28"/>
      <c r="C190" s="28"/>
      <c r="D190" s="28"/>
    </row>
    <row r="191" spans="1:4" ht="12.75">
      <c r="A191" s="28"/>
      <c r="B191" s="28"/>
      <c r="C191" s="28"/>
      <c r="D191" s="28"/>
    </row>
    <row r="192" spans="1:4" ht="12.75">
      <c r="A192" s="28"/>
      <c r="B192" s="28"/>
      <c r="C192" s="28"/>
      <c r="D192" s="28"/>
    </row>
    <row r="193" spans="1:4" ht="12.75">
      <c r="A193" s="28"/>
      <c r="B193" s="28"/>
      <c r="C193" s="28"/>
      <c r="D193" s="28"/>
    </row>
    <row r="194" spans="1:4" ht="12.75">
      <c r="A194" s="28"/>
      <c r="B194" s="28"/>
      <c r="C194" s="28"/>
      <c r="D194" s="28"/>
    </row>
    <row r="195" spans="1:4" ht="12.75">
      <c r="A195" s="28"/>
      <c r="B195" s="28"/>
      <c r="C195" s="28"/>
      <c r="D195" s="28"/>
    </row>
    <row r="196" spans="1:4" ht="12.75">
      <c r="A196" s="28"/>
      <c r="B196" s="28"/>
      <c r="C196" s="28"/>
      <c r="D196" s="28"/>
    </row>
    <row r="197" spans="1:4" ht="12.75">
      <c r="A197" s="28"/>
      <c r="B197" s="28"/>
      <c r="C197" s="28"/>
      <c r="D197" s="28"/>
    </row>
    <row r="198" spans="1:4" ht="12.75">
      <c r="A198" s="28"/>
      <c r="B198" s="28"/>
      <c r="C198" s="28"/>
      <c r="D198" s="28"/>
    </row>
    <row r="199" spans="1:4" ht="12.75">
      <c r="A199" s="28"/>
      <c r="B199" s="28"/>
      <c r="C199" s="28"/>
      <c r="D199" s="28"/>
    </row>
    <row r="200" spans="1:4" ht="12.75">
      <c r="A200" s="28"/>
      <c r="B200" s="28"/>
      <c r="C200" s="28"/>
      <c r="D200" s="28"/>
    </row>
    <row r="201" spans="1:4" ht="12.75">
      <c r="A201" s="28"/>
      <c r="B201" s="28"/>
      <c r="C201" s="28"/>
      <c r="D201" s="28"/>
    </row>
    <row r="202" spans="1:4" ht="12.75">
      <c r="A202" s="28"/>
      <c r="B202" s="28"/>
      <c r="C202" s="28"/>
      <c r="D202" s="28"/>
    </row>
    <row r="203" spans="1:4" ht="12.75">
      <c r="A203" s="28"/>
      <c r="B203" s="28"/>
      <c r="C203" s="28"/>
      <c r="D203" s="28"/>
    </row>
    <row r="204" spans="1:4" ht="12.75">
      <c r="A204" s="28"/>
      <c r="B204" s="28"/>
      <c r="C204" s="28"/>
      <c r="D204" s="28"/>
    </row>
    <row r="205" spans="1:4" ht="12.75">
      <c r="A205" s="28"/>
      <c r="B205" s="28"/>
      <c r="C205" s="28"/>
      <c r="D205" s="28"/>
    </row>
    <row r="206" spans="1:4" ht="12.75">
      <c r="A206" s="28"/>
      <c r="B206" s="28"/>
      <c r="C206" s="28"/>
      <c r="D206" s="28"/>
    </row>
    <row r="207" spans="1:4" ht="12.75">
      <c r="A207" s="28"/>
      <c r="B207" s="28"/>
      <c r="C207" s="28"/>
      <c r="D207" s="28"/>
    </row>
    <row r="208" spans="1:4" ht="12.75">
      <c r="A208" s="28"/>
      <c r="B208" s="28"/>
      <c r="C208" s="28"/>
      <c r="D208" s="28"/>
    </row>
    <row r="209" spans="1:4" ht="12.75">
      <c r="A209" s="28"/>
      <c r="B209" s="28"/>
      <c r="C209" s="28"/>
      <c r="D209" s="28"/>
    </row>
    <row r="210" spans="1:4" ht="12.75">
      <c r="A210" s="28"/>
      <c r="B210" s="28"/>
      <c r="C210" s="28"/>
      <c r="D210" s="28"/>
    </row>
    <row r="211" spans="1:4" ht="12.75">
      <c r="A211" s="28"/>
      <c r="B211" s="28"/>
      <c r="C211" s="28"/>
      <c r="D211" s="28"/>
    </row>
    <row r="212" spans="1:4" ht="12.75">
      <c r="A212" s="28"/>
      <c r="B212" s="28"/>
      <c r="C212" s="28"/>
      <c r="D212" s="28"/>
    </row>
    <row r="213" spans="1:4" ht="12.75">
      <c r="A213" s="28"/>
      <c r="B213" s="28"/>
      <c r="C213" s="28"/>
      <c r="D213" s="28"/>
    </row>
    <row r="214" spans="1:4" ht="12.75">
      <c r="A214" s="28"/>
      <c r="B214" s="28"/>
      <c r="C214" s="28"/>
      <c r="D214" s="28"/>
    </row>
    <row r="215" spans="1:4" ht="12.75">
      <c r="A215" s="28"/>
      <c r="B215" s="28"/>
      <c r="C215" s="28"/>
      <c r="D215" s="28"/>
    </row>
    <row r="216" spans="1:4" ht="12.75">
      <c r="A216" s="28"/>
      <c r="B216" s="28"/>
      <c r="C216" s="28"/>
      <c r="D216" s="28"/>
    </row>
    <row r="217" spans="1:4" ht="12.75">
      <c r="A217" s="28"/>
      <c r="B217" s="28"/>
      <c r="C217" s="28"/>
      <c r="D217" s="28"/>
    </row>
    <row r="218" spans="1:4" ht="12.75">
      <c r="A218" s="28"/>
      <c r="B218" s="28"/>
      <c r="C218" s="28"/>
      <c r="D218" s="28"/>
    </row>
    <row r="219" spans="1:4" ht="12.75">
      <c r="A219" s="28"/>
      <c r="B219" s="28"/>
      <c r="C219" s="28"/>
      <c r="D219" s="28"/>
    </row>
    <row r="220" spans="1:4" ht="12.75">
      <c r="A220" s="28"/>
      <c r="B220" s="28"/>
      <c r="C220" s="28"/>
      <c r="D220" s="28"/>
    </row>
    <row r="221" spans="1:4" ht="12.75">
      <c r="A221" s="28"/>
      <c r="B221" s="28"/>
      <c r="C221" s="28"/>
      <c r="D221" s="28"/>
    </row>
    <row r="222" spans="1:4" ht="12.75">
      <c r="A222" s="28"/>
      <c r="B222" s="28"/>
      <c r="C222" s="28"/>
      <c r="D222" s="28"/>
    </row>
    <row r="223" spans="1:4" ht="12.75">
      <c r="A223" s="28"/>
      <c r="B223" s="28"/>
      <c r="C223" s="28"/>
      <c r="D223" s="28"/>
    </row>
    <row r="224" spans="1:4" ht="12.75">
      <c r="A224" s="28"/>
      <c r="B224" s="28"/>
      <c r="C224" s="28"/>
      <c r="D224" s="28"/>
    </row>
    <row r="225" spans="1:4" ht="12.75">
      <c r="A225" s="28"/>
      <c r="B225" s="28"/>
      <c r="C225" s="28"/>
      <c r="D225" s="28"/>
    </row>
    <row r="226" spans="1:4" ht="12.75">
      <c r="A226" s="28"/>
      <c r="B226" s="28"/>
      <c r="C226" s="28"/>
      <c r="D226" s="28"/>
    </row>
    <row r="227" spans="1:4" ht="12.75">
      <c r="A227" s="28"/>
      <c r="B227" s="28"/>
      <c r="C227" s="28"/>
      <c r="D227" s="28"/>
    </row>
    <row r="228" spans="1:4" ht="12.75">
      <c r="A228" s="28"/>
      <c r="B228" s="28"/>
      <c r="C228" s="28"/>
      <c r="D228" s="28"/>
    </row>
    <row r="229" spans="1:4" ht="12.75">
      <c r="A229" s="28"/>
      <c r="B229" s="28"/>
      <c r="C229" s="28"/>
      <c r="D229" s="28"/>
    </row>
    <row r="230" spans="1:4" ht="12.75">
      <c r="A230" s="28"/>
      <c r="B230" s="28"/>
      <c r="C230" s="28"/>
      <c r="D230" s="28"/>
    </row>
    <row r="231" spans="1:4" ht="12.75">
      <c r="A231" s="28"/>
      <c r="B231" s="28"/>
      <c r="C231" s="28"/>
      <c r="D231" s="28"/>
    </row>
    <row r="232" spans="1:4" ht="12.75">
      <c r="A232" s="28"/>
      <c r="B232" s="28"/>
      <c r="C232" s="28"/>
      <c r="D232" s="28"/>
    </row>
    <row r="233" spans="1:4" ht="12.75">
      <c r="A233" s="28"/>
      <c r="B233" s="28"/>
      <c r="C233" s="28"/>
      <c r="D233" s="28"/>
    </row>
    <row r="234" spans="1:4" ht="12.75">
      <c r="A234" s="28"/>
      <c r="B234" s="28"/>
      <c r="C234" s="28"/>
      <c r="D234" s="28"/>
    </row>
    <row r="235" spans="1:4" ht="12.75">
      <c r="A235" s="28"/>
      <c r="B235" s="28"/>
      <c r="C235" s="28"/>
      <c r="D235" s="28"/>
    </row>
    <row r="236" spans="1:4" ht="12.75">
      <c r="A236" s="28"/>
      <c r="B236" s="28"/>
      <c r="C236" s="28"/>
      <c r="D236" s="28"/>
    </row>
    <row r="237" spans="1:4" ht="12.75">
      <c r="A237" s="28"/>
      <c r="B237" s="28"/>
      <c r="C237" s="28"/>
      <c r="D237" s="28"/>
    </row>
    <row r="238" spans="1:4" ht="12.75">
      <c r="A238" s="28"/>
      <c r="B238" s="28"/>
      <c r="C238" s="28"/>
      <c r="D238" s="28"/>
    </row>
    <row r="239" spans="1:4" ht="12.75">
      <c r="A239" s="28"/>
      <c r="B239" s="28"/>
      <c r="C239" s="28"/>
      <c r="D239" s="28"/>
    </row>
    <row r="240" spans="1:4" ht="12.75">
      <c r="A240" s="28"/>
      <c r="B240" s="28"/>
      <c r="C240" s="28"/>
      <c r="D240" s="28"/>
    </row>
    <row r="241" spans="1:4" ht="12.75">
      <c r="A241" s="28"/>
      <c r="B241" s="28"/>
      <c r="C241" s="28"/>
      <c r="D241" s="28"/>
    </row>
    <row r="242" spans="1:4" ht="12.75">
      <c r="A242" s="28"/>
      <c r="B242" s="28"/>
      <c r="C242" s="28"/>
      <c r="D242" s="28"/>
    </row>
    <row r="243" spans="1:4" ht="12.75">
      <c r="A243" s="28"/>
      <c r="B243" s="28"/>
      <c r="C243" s="28"/>
      <c r="D243" s="28"/>
    </row>
    <row r="244" spans="1:4" ht="12.75">
      <c r="A244" s="28"/>
      <c r="B244" s="28"/>
      <c r="C244" s="28"/>
      <c r="D244" s="28"/>
    </row>
    <row r="245" spans="1:4" ht="12.75">
      <c r="A245" s="28"/>
      <c r="B245" s="28"/>
      <c r="C245" s="28"/>
      <c r="D245" s="28"/>
    </row>
    <row r="246" spans="1:4" ht="12.75">
      <c r="A246" s="28"/>
      <c r="B246" s="28"/>
      <c r="C246" s="28"/>
      <c r="D246" s="28"/>
    </row>
    <row r="247" spans="1:4" ht="12.75">
      <c r="A247" s="28"/>
      <c r="B247" s="28"/>
      <c r="C247" s="28"/>
      <c r="D247" s="28"/>
    </row>
    <row r="248" spans="1:4" ht="12.75">
      <c r="A248" s="28"/>
      <c r="B248" s="28"/>
      <c r="C248" s="28"/>
      <c r="D248" s="28"/>
    </row>
    <row r="249" spans="1:4" ht="12.75">
      <c r="A249" s="28"/>
      <c r="B249" s="28"/>
      <c r="C249" s="28"/>
      <c r="D249" s="28"/>
    </row>
    <row r="250" spans="1:4" ht="12.75">
      <c r="A250" s="28"/>
      <c r="B250" s="28"/>
      <c r="C250" s="28"/>
      <c r="D250" s="28"/>
    </row>
    <row r="251" spans="1:4" ht="12.75">
      <c r="A251" s="28"/>
      <c r="B251" s="28"/>
      <c r="C251" s="28"/>
      <c r="D251" s="28"/>
    </row>
    <row r="252" spans="1:4" ht="12.75">
      <c r="A252" s="28"/>
      <c r="B252" s="28"/>
      <c r="C252" s="28"/>
      <c r="D252" s="28"/>
    </row>
    <row r="253" spans="1:4" ht="12.75">
      <c r="A253" s="28"/>
      <c r="B253" s="28"/>
      <c r="C253" s="28"/>
      <c r="D253" s="28"/>
    </row>
    <row r="254" spans="1:4" ht="12.75">
      <c r="A254" s="28"/>
      <c r="B254" s="28"/>
      <c r="C254" s="28"/>
      <c r="D254" s="28"/>
    </row>
    <row r="255" spans="1:4" ht="12.75">
      <c r="A255" s="28"/>
      <c r="B255" s="28"/>
      <c r="C255" s="28"/>
      <c r="D255" s="28"/>
    </row>
    <row r="256" spans="1:4" ht="12.75">
      <c r="A256" s="28"/>
      <c r="B256" s="28"/>
      <c r="C256" s="28"/>
      <c r="D256" s="28"/>
    </row>
    <row r="257" spans="1:4" ht="12.75">
      <c r="A257" s="28"/>
      <c r="B257" s="28"/>
      <c r="C257" s="28"/>
      <c r="D257" s="28"/>
    </row>
    <row r="258" spans="1:4" ht="12.75">
      <c r="A258" s="28"/>
      <c r="B258" s="28"/>
      <c r="C258" s="28"/>
      <c r="D258" s="28"/>
    </row>
    <row r="259" spans="1:4" ht="12.75">
      <c r="A259" s="28"/>
      <c r="B259" s="28"/>
      <c r="C259" s="28"/>
      <c r="D259" s="28"/>
    </row>
    <row r="260" spans="1:4" ht="12.75">
      <c r="A260" s="28"/>
      <c r="B260" s="28"/>
      <c r="C260" s="28"/>
      <c r="D260" s="28"/>
    </row>
    <row r="261" spans="1:4" ht="12.75">
      <c r="A261" s="28"/>
      <c r="B261" s="28"/>
      <c r="C261" s="28"/>
      <c r="D261" s="28"/>
    </row>
    <row r="262" spans="1:4" ht="12.75">
      <c r="A262" s="28"/>
      <c r="B262" s="28"/>
      <c r="C262" s="28"/>
      <c r="D262" s="28"/>
    </row>
    <row r="263" spans="1:4" ht="12.75">
      <c r="A263" s="28"/>
      <c r="B263" s="28"/>
      <c r="C263" s="28"/>
      <c r="D263" s="28"/>
    </row>
    <row r="264" spans="1:4" ht="12.75">
      <c r="A264" s="28"/>
      <c r="B264" s="28"/>
      <c r="C264" s="28"/>
      <c r="D264" s="28"/>
    </row>
    <row r="265" spans="1:4" ht="12.75">
      <c r="A265" s="28"/>
      <c r="B265" s="28"/>
      <c r="C265" s="28"/>
      <c r="D265" s="28"/>
    </row>
    <row r="266" spans="1:4" ht="12.75">
      <c r="A266" s="28"/>
      <c r="B266" s="28"/>
      <c r="C266" s="28"/>
      <c r="D266" s="28"/>
    </row>
    <row r="267" spans="1:4" ht="12.75">
      <c r="A267" s="28"/>
      <c r="B267" s="28"/>
      <c r="C267" s="28"/>
      <c r="D267" s="28"/>
    </row>
    <row r="268" spans="1:4" ht="12.75">
      <c r="A268" s="28"/>
      <c r="B268" s="28"/>
      <c r="C268" s="28"/>
      <c r="D268" s="28"/>
    </row>
    <row r="269" spans="1:4" ht="12.75">
      <c r="A269" s="28"/>
      <c r="B269" s="28"/>
      <c r="C269" s="28"/>
      <c r="D269" s="28"/>
    </row>
    <row r="270" spans="1:4" ht="12.75">
      <c r="A270" s="28"/>
      <c r="B270" s="28"/>
      <c r="C270" s="28"/>
      <c r="D270" s="28"/>
    </row>
    <row r="271" spans="1:4" ht="12.75">
      <c r="A271" s="28"/>
      <c r="B271" s="28"/>
      <c r="C271" s="28"/>
      <c r="D271" s="28"/>
    </row>
    <row r="272" spans="1:4" ht="12.75">
      <c r="A272" s="28"/>
      <c r="B272" s="28"/>
      <c r="C272" s="28"/>
      <c r="D272" s="28"/>
    </row>
  </sheetData>
  <printOptions/>
  <pageMargins left="0.75" right="0.75" top="1" bottom="1" header="0.5" footer="0.5"/>
  <pageSetup horizontalDpi="600" verticalDpi="600" orientation="landscape" r:id="rId1"/>
  <headerFooter alignWithMargins="0">
    <oddHeader>&amp;LNovember, 2000&amp;RIEEE P802.15.3 00/354r1</oddHeader>
    <oddFooter>&amp;LSubmission&amp;C&amp;P&amp;RAllen Heberling, Eastman Kodak, Co.</oddFooter>
  </headerFooter>
</worksheet>
</file>

<file path=xl/worksheets/sheet7.xml><?xml version="1.0" encoding="utf-8"?>
<worksheet xmlns="http://schemas.openxmlformats.org/spreadsheetml/2006/main" xmlns:r="http://schemas.openxmlformats.org/officeDocument/2006/relationships">
  <dimension ref="A1:N101"/>
  <sheetViews>
    <sheetView zoomScale="75" zoomScaleNormal="75" workbookViewId="0" topLeftCell="A37">
      <selection activeCell="D62" sqref="D62"/>
    </sheetView>
  </sheetViews>
  <sheetFormatPr defaultColWidth="9.140625" defaultRowHeight="12.75"/>
  <cols>
    <col min="1" max="1" width="24.421875" style="0" bestFit="1" customWidth="1"/>
    <col min="3" max="3" width="11.7109375" style="0" bestFit="1" customWidth="1"/>
    <col min="4" max="4" width="9.28125" style="0" customWidth="1"/>
    <col min="5" max="5" width="3.140625" style="0" customWidth="1"/>
    <col min="6" max="6" width="24.421875" style="0" bestFit="1" customWidth="1"/>
    <col min="8" max="8" width="11.7109375" style="0" bestFit="1" customWidth="1"/>
    <col min="9" max="9" width="9.421875" style="0" customWidth="1"/>
    <col min="10" max="10" width="11.00390625" style="0" customWidth="1"/>
    <col min="11" max="11" width="24.421875" style="0" bestFit="1" customWidth="1"/>
    <col min="13" max="13" width="11.7109375" style="0" bestFit="1" customWidth="1"/>
    <col min="14" max="14" width="9.7109375" style="0" customWidth="1"/>
  </cols>
  <sheetData>
    <row r="1" spans="1:14" ht="12.75">
      <c r="A1" s="71" t="s">
        <v>246</v>
      </c>
      <c r="B1" s="72"/>
      <c r="C1" s="72"/>
      <c r="D1" s="73"/>
      <c r="E1" s="1"/>
      <c r="F1" s="71" t="s">
        <v>247</v>
      </c>
      <c r="G1" s="74"/>
      <c r="H1" s="74"/>
      <c r="I1" s="11"/>
      <c r="J1" s="1"/>
      <c r="K1" s="71" t="s">
        <v>248</v>
      </c>
      <c r="L1" s="74"/>
      <c r="M1" s="74"/>
      <c r="N1" s="11"/>
    </row>
    <row r="2" spans="1:14" ht="22.5">
      <c r="A2" s="68"/>
      <c r="B2" s="68" t="s">
        <v>79</v>
      </c>
      <c r="C2" s="69" t="s">
        <v>84</v>
      </c>
      <c r="D2" s="70" t="s">
        <v>306</v>
      </c>
      <c r="E2" s="1"/>
      <c r="F2" s="6"/>
      <c r="G2" s="4" t="s">
        <v>79</v>
      </c>
      <c r="H2" s="3" t="s">
        <v>84</v>
      </c>
      <c r="I2" s="70" t="s">
        <v>306</v>
      </c>
      <c r="J2" s="1"/>
      <c r="K2" s="6"/>
      <c r="L2" s="4" t="s">
        <v>79</v>
      </c>
      <c r="M2" s="3" t="s">
        <v>84</v>
      </c>
      <c r="N2" s="70" t="s">
        <v>306</v>
      </c>
    </row>
    <row r="3" spans="1:14" ht="12.75">
      <c r="A3" s="68"/>
      <c r="B3" s="68"/>
      <c r="C3" s="20">
        <v>0</v>
      </c>
      <c r="D3" s="20">
        <v>0</v>
      </c>
      <c r="E3" s="1"/>
      <c r="F3" s="4"/>
      <c r="G3" s="6"/>
      <c r="H3" s="20">
        <v>0</v>
      </c>
      <c r="I3" s="21">
        <f>0+H3</f>
        <v>0</v>
      </c>
      <c r="J3" s="1"/>
      <c r="K3" s="4"/>
      <c r="L3" s="6"/>
      <c r="M3" s="20">
        <v>0</v>
      </c>
      <c r="N3" s="21">
        <f>0+M3</f>
        <v>0</v>
      </c>
    </row>
    <row r="4" spans="1:14" ht="12.75">
      <c r="A4" s="237" t="s">
        <v>85</v>
      </c>
      <c r="B4" s="6">
        <f>Preamble_P+PLCP_P</f>
        <v>192</v>
      </c>
      <c r="C4" s="20">
        <f>B4/bitspersecP</f>
        <v>8.727272727272728E-06</v>
      </c>
      <c r="D4" s="21">
        <f>C4</f>
        <v>8.727272727272728E-06</v>
      </c>
      <c r="E4" s="1"/>
      <c r="F4" s="4" t="s">
        <v>56</v>
      </c>
      <c r="G4" s="6"/>
      <c r="H4" s="20">
        <f>aSIFSTIME_P</f>
        <v>1E-05</v>
      </c>
      <c r="I4" s="21">
        <f>I3+H4</f>
        <v>1E-05</v>
      </c>
      <c r="J4" s="1"/>
      <c r="K4" s="4" t="s">
        <v>85</v>
      </c>
      <c r="L4" s="6">
        <f>Preamble_P+PLCP_P</f>
        <v>192</v>
      </c>
      <c r="M4" s="20">
        <f>L4/bitspersecP</f>
        <v>8.727272727272728E-06</v>
      </c>
      <c r="N4" s="21">
        <f>N3+M4</f>
        <v>8.727272727272728E-06</v>
      </c>
    </row>
    <row r="5" spans="1:14" ht="12.75">
      <c r="A5" s="237" t="s">
        <v>58</v>
      </c>
      <c r="B5" s="6">
        <f>MacPayLdHdrP</f>
        <v>96</v>
      </c>
      <c r="C5" s="20">
        <f>B5/bitspersecP</f>
        <v>4.363636363636364E-06</v>
      </c>
      <c r="D5" s="21">
        <f>D4+C5+((Payload_P*8)/bitspersecP)</f>
        <v>0.0005636363636363636</v>
      </c>
      <c r="E5" s="1"/>
      <c r="F5" s="4" t="s">
        <v>85</v>
      </c>
      <c r="G5" s="6">
        <f>Preamble_P+PLCP_P</f>
        <v>192</v>
      </c>
      <c r="H5" s="20">
        <f>G5/bitspersecP</f>
        <v>8.727272727272728E-06</v>
      </c>
      <c r="I5" s="21">
        <f>I3+H5</f>
        <v>8.727272727272728E-06</v>
      </c>
      <c r="J5" s="1"/>
      <c r="K5" s="4" t="s">
        <v>87</v>
      </c>
      <c r="L5" s="6">
        <f>MacPayLdHdrP</f>
        <v>96</v>
      </c>
      <c r="M5" s="20">
        <f>L5/bitspersecP</f>
        <v>4.363636363636364E-06</v>
      </c>
      <c r="N5" s="21">
        <f>N4+M5+((Payload_P*8)/bitspersecP)</f>
        <v>0.0005636363636363636</v>
      </c>
    </row>
    <row r="6" spans="1:14" ht="12.75">
      <c r="A6" s="237" t="s">
        <v>234</v>
      </c>
      <c r="B6" s="6"/>
      <c r="C6" s="20">
        <f>$B$58</f>
        <v>1E-06</v>
      </c>
      <c r="D6" s="21">
        <f>D5+C6</f>
        <v>0.0005646363636363636</v>
      </c>
      <c r="E6" s="1"/>
      <c r="F6" s="4" t="s">
        <v>87</v>
      </c>
      <c r="G6" s="6">
        <f>MacPayLdHdrP</f>
        <v>96</v>
      </c>
      <c r="H6" s="20">
        <f>G6/bitspersecP</f>
        <v>4.363636363636364E-06</v>
      </c>
      <c r="I6" s="21">
        <f>I5+H6+((Payload_P*8)/bitspersecP)</f>
        <v>0.0005636363636363636</v>
      </c>
      <c r="J6" s="1"/>
      <c r="K6" s="237" t="s">
        <v>234</v>
      </c>
      <c r="L6" s="6"/>
      <c r="M6" s="20">
        <f>$B$58</f>
        <v>1E-06</v>
      </c>
      <c r="N6" s="21">
        <f>N5+M6</f>
        <v>0.0005646363636363636</v>
      </c>
    </row>
    <row r="7" spans="1:14" ht="12.75">
      <c r="A7" s="237" t="s">
        <v>85</v>
      </c>
      <c r="B7" s="6">
        <f>Preamble_P+PLCP_P</f>
        <v>192</v>
      </c>
      <c r="C7" s="20">
        <f>B7/bitspersecP</f>
        <v>8.727272727272728E-06</v>
      </c>
      <c r="D7" s="21">
        <f>D6+C7</f>
        <v>0.0005733636363636364</v>
      </c>
      <c r="E7" s="1"/>
      <c r="F7" s="237" t="s">
        <v>234</v>
      </c>
      <c r="G7" s="6"/>
      <c r="H7" s="20">
        <f>$B$58</f>
        <v>1E-06</v>
      </c>
      <c r="I7" s="21">
        <f>I6+H7</f>
        <v>0.0005646363636363636</v>
      </c>
      <c r="J7" s="1"/>
      <c r="K7" s="4" t="s">
        <v>85</v>
      </c>
      <c r="L7" s="6">
        <f>Preamble_P+PLCP_P</f>
        <v>192</v>
      </c>
      <c r="M7" s="20">
        <f>L7/bitspersecP</f>
        <v>8.727272727272728E-06</v>
      </c>
      <c r="N7" s="21">
        <f>N6+M7</f>
        <v>0.0005733636363636364</v>
      </c>
    </row>
    <row r="8" spans="1:14" ht="12.75">
      <c r="A8" s="237" t="s">
        <v>60</v>
      </c>
      <c r="B8" s="6">
        <f>MacPayLdHdrP</f>
        <v>96</v>
      </c>
      <c r="C8" s="20">
        <f>B8/bitspersecP</f>
        <v>4.363636363636364E-06</v>
      </c>
      <c r="D8" s="21">
        <f>D7+C8+((Payload_P*8)/bitspersecP)</f>
        <v>0.0011282727272727273</v>
      </c>
      <c r="E8" s="1"/>
      <c r="F8" s="4" t="s">
        <v>85</v>
      </c>
      <c r="G8" s="6">
        <f>Preamble_P+PLCP_P</f>
        <v>192</v>
      </c>
      <c r="H8" s="20">
        <f>G8/bitspersecP</f>
        <v>8.727272727272728E-06</v>
      </c>
      <c r="I8" s="21">
        <f>I7+H8</f>
        <v>0.0005733636363636364</v>
      </c>
      <c r="J8" s="1"/>
      <c r="K8" s="4" t="s">
        <v>87</v>
      </c>
      <c r="L8" s="6">
        <f>MacPayLdHdrP</f>
        <v>96</v>
      </c>
      <c r="M8" s="20">
        <f>L8/bitspersecP</f>
        <v>4.363636363636364E-06</v>
      </c>
      <c r="N8" s="21">
        <f>N7+M8+((Payload_P*8)/bitspersecP)</f>
        <v>0.0011282727272727273</v>
      </c>
    </row>
    <row r="9" spans="1:14" ht="12.75">
      <c r="A9" s="237" t="s">
        <v>234</v>
      </c>
      <c r="B9" s="6"/>
      <c r="C9" s="20">
        <f>$B$58</f>
        <v>1E-06</v>
      </c>
      <c r="D9" s="21">
        <f>D8+C9</f>
        <v>0.0011292727272727272</v>
      </c>
      <c r="E9" s="1"/>
      <c r="F9" s="4" t="s">
        <v>87</v>
      </c>
      <c r="G9" s="6">
        <f>MacPayLdHdrP</f>
        <v>96</v>
      </c>
      <c r="H9" s="20">
        <f>G9/bitspersecP</f>
        <v>4.363636363636364E-06</v>
      </c>
      <c r="I9" s="21">
        <f>I8+H9+((Payload_P*8)/bitspersecP)</f>
        <v>0.0011282727272727273</v>
      </c>
      <c r="J9" s="1"/>
      <c r="K9" s="237" t="s">
        <v>234</v>
      </c>
      <c r="L9" s="6"/>
      <c r="M9" s="20">
        <f>$B$58</f>
        <v>1E-06</v>
      </c>
      <c r="N9" s="21">
        <f>N8+M9</f>
        <v>0.0011292727272727272</v>
      </c>
    </row>
    <row r="10" spans="1:14" ht="12.75">
      <c r="A10" s="237" t="s">
        <v>85</v>
      </c>
      <c r="B10" s="6">
        <f>Preamble_P+PLCP_P</f>
        <v>192</v>
      </c>
      <c r="C10" s="20">
        <f>B10/bitspersecP</f>
        <v>8.727272727272728E-06</v>
      </c>
      <c r="D10" s="21">
        <f>D9+C10</f>
        <v>0.001138</v>
      </c>
      <c r="E10" s="1"/>
      <c r="F10" s="237" t="s">
        <v>234</v>
      </c>
      <c r="G10" s="6"/>
      <c r="H10" s="20">
        <f>$B$58</f>
        <v>1E-06</v>
      </c>
      <c r="I10" s="21">
        <f>I9+H10</f>
        <v>0.0011292727272727272</v>
      </c>
      <c r="J10" s="1"/>
      <c r="K10" s="4" t="s">
        <v>85</v>
      </c>
      <c r="L10" s="6">
        <f>Preamble_P+PLCP_P</f>
        <v>192</v>
      </c>
      <c r="M10" s="20">
        <f>L10/bitspersecP</f>
        <v>8.727272727272728E-06</v>
      </c>
      <c r="N10" s="21">
        <f>N9+M10</f>
        <v>0.001138</v>
      </c>
    </row>
    <row r="11" spans="1:14" ht="12.75">
      <c r="A11" s="237" t="s">
        <v>62</v>
      </c>
      <c r="B11" s="6">
        <f>MacPayLdHdrP</f>
        <v>96</v>
      </c>
      <c r="C11" s="20">
        <f>B11/bitspersecP</f>
        <v>4.363636363636364E-06</v>
      </c>
      <c r="D11" s="21">
        <f>D10+C11+((Payload_P*8)/bitspersecP)</f>
        <v>0.0016929090909090908</v>
      </c>
      <c r="E11" s="1"/>
      <c r="F11" s="4" t="s">
        <v>85</v>
      </c>
      <c r="G11" s="6">
        <f>Preamble_P+PLCP_P</f>
        <v>192</v>
      </c>
      <c r="H11" s="20">
        <f>G11/bitspersecP</f>
        <v>8.727272727272728E-06</v>
      </c>
      <c r="I11" s="21">
        <f>I10+H11</f>
        <v>0.001138</v>
      </c>
      <c r="J11" s="1"/>
      <c r="K11" s="4" t="s">
        <v>87</v>
      </c>
      <c r="L11" s="6">
        <f>MacPayLdHdrP</f>
        <v>96</v>
      </c>
      <c r="M11" s="20">
        <f>L11/bitspersecP</f>
        <v>4.363636363636364E-06</v>
      </c>
      <c r="N11" s="21">
        <f>N10+M11+((Payload_P*8)/bitspersecP)</f>
        <v>0.0016929090909090908</v>
      </c>
    </row>
    <row r="12" spans="1:14" ht="12.75">
      <c r="A12" s="237" t="s">
        <v>234</v>
      </c>
      <c r="B12" s="6"/>
      <c r="C12" s="20">
        <f>$B$58</f>
        <v>1E-06</v>
      </c>
      <c r="D12" s="21">
        <f>D11+C12</f>
        <v>0.0016939090909090908</v>
      </c>
      <c r="E12" s="1"/>
      <c r="F12" s="4" t="s">
        <v>87</v>
      </c>
      <c r="G12" s="6">
        <f>MacPayLdHdrP</f>
        <v>96</v>
      </c>
      <c r="H12" s="20">
        <f>G12/bitspersecP</f>
        <v>4.363636363636364E-06</v>
      </c>
      <c r="I12" s="21">
        <f>I11+H12+((Payload_P*8)/bitspersecP)</f>
        <v>0.0016929090909090908</v>
      </c>
      <c r="J12" s="1"/>
      <c r="K12" s="237" t="s">
        <v>234</v>
      </c>
      <c r="L12" s="6"/>
      <c r="M12" s="20">
        <f>$B$58</f>
        <v>1E-06</v>
      </c>
      <c r="N12" s="21">
        <f>N11+M12</f>
        <v>0.0016939090909090908</v>
      </c>
    </row>
    <row r="13" spans="1:14" ht="12.75">
      <c r="A13" s="237" t="s">
        <v>85</v>
      </c>
      <c r="B13" s="6">
        <f>Preamble_P+PLCP_P</f>
        <v>192</v>
      </c>
      <c r="C13" s="20">
        <f>B13/bitspersecP</f>
        <v>8.727272727272728E-06</v>
      </c>
      <c r="D13" s="21">
        <f>D12+C13</f>
        <v>0.0017026363636363634</v>
      </c>
      <c r="E13" s="1"/>
      <c r="F13" s="237" t="s">
        <v>234</v>
      </c>
      <c r="G13" s="6"/>
      <c r="H13" s="20">
        <f>$B$58</f>
        <v>1E-06</v>
      </c>
      <c r="I13" s="21">
        <f>I12+H13</f>
        <v>0.0016939090909090908</v>
      </c>
      <c r="J13" s="1"/>
      <c r="K13" s="4" t="s">
        <v>85</v>
      </c>
      <c r="L13" s="6">
        <f>Preamble_P+PLCP_P</f>
        <v>192</v>
      </c>
      <c r="M13" s="20">
        <f>L13/bitspersecP</f>
        <v>8.727272727272728E-06</v>
      </c>
      <c r="N13" s="21">
        <f>N12+M13</f>
        <v>0.0017026363636363634</v>
      </c>
    </row>
    <row r="14" spans="1:14" ht="12.75">
      <c r="A14" s="237" t="s">
        <v>65</v>
      </c>
      <c r="B14" s="6">
        <f>MacPayLdHdrP</f>
        <v>96</v>
      </c>
      <c r="C14" s="20">
        <f>B14/bitspersecP</f>
        <v>4.363636363636364E-06</v>
      </c>
      <c r="D14" s="21">
        <f>D13+C14+((Payload_P*8)/bitspersecP)</f>
        <v>0.0022575454545454544</v>
      </c>
      <c r="E14" s="1"/>
      <c r="F14" s="4" t="s">
        <v>85</v>
      </c>
      <c r="G14" s="6">
        <f>Preamble_P+PLCP_P</f>
        <v>192</v>
      </c>
      <c r="H14" s="20">
        <f>G14/bitspersecP</f>
        <v>8.727272727272728E-06</v>
      </c>
      <c r="I14" s="21">
        <f>I13+H14</f>
        <v>0.0017026363636363634</v>
      </c>
      <c r="J14" s="1"/>
      <c r="K14" s="4" t="s">
        <v>87</v>
      </c>
      <c r="L14" s="6">
        <f>MacPayLdHdrP</f>
        <v>96</v>
      </c>
      <c r="M14" s="20">
        <f>L14/bitspersecP</f>
        <v>4.363636363636364E-06</v>
      </c>
      <c r="N14" s="21">
        <f>N13+M14+((Payload_P*8)/bitspersecP)</f>
        <v>0.0022575454545454544</v>
      </c>
    </row>
    <row r="15" spans="1:14" ht="12.75">
      <c r="A15" s="237" t="s">
        <v>234</v>
      </c>
      <c r="B15" s="6"/>
      <c r="C15" s="20">
        <f>$B$58</f>
        <v>1E-06</v>
      </c>
      <c r="D15" s="21">
        <f>D14+C15</f>
        <v>0.0022585454545454545</v>
      </c>
      <c r="E15" s="1"/>
      <c r="F15" s="4" t="s">
        <v>87</v>
      </c>
      <c r="G15" s="6">
        <f>MacPayLdHdrP</f>
        <v>96</v>
      </c>
      <c r="H15" s="20">
        <f>G15/bitspersecP</f>
        <v>4.363636363636364E-06</v>
      </c>
      <c r="I15" s="21">
        <f>I14+H15+((Payload_P*8)/bitspersecP)</f>
        <v>0.0022575454545454544</v>
      </c>
      <c r="J15" s="1"/>
      <c r="K15" s="237" t="s">
        <v>234</v>
      </c>
      <c r="L15" s="6"/>
      <c r="M15" s="20">
        <f>$B$58</f>
        <v>1E-06</v>
      </c>
      <c r="N15" s="21">
        <f>N14+M15</f>
        <v>0.0022585454545454545</v>
      </c>
    </row>
    <row r="16" spans="1:14" ht="12.75">
      <c r="A16" s="237" t="s">
        <v>85</v>
      </c>
      <c r="B16" s="6">
        <f>Preamble_P+PLCP_P</f>
        <v>192</v>
      </c>
      <c r="C16" s="20">
        <f>B16/bitspersecP</f>
        <v>8.727272727272728E-06</v>
      </c>
      <c r="D16" s="21">
        <f>D15+C16</f>
        <v>0.002267272727272727</v>
      </c>
      <c r="E16" s="1"/>
      <c r="F16" s="237" t="s">
        <v>234</v>
      </c>
      <c r="G16" s="6"/>
      <c r="H16" s="20">
        <f>$B$58</f>
        <v>1E-06</v>
      </c>
      <c r="I16" s="21">
        <f>I15+H16</f>
        <v>0.0022585454545454545</v>
      </c>
      <c r="J16" s="1"/>
      <c r="K16" s="4" t="s">
        <v>85</v>
      </c>
      <c r="L16" s="6">
        <f>Preamble_P+PLCP_P</f>
        <v>192</v>
      </c>
      <c r="M16" s="20">
        <f>L16/bitspersecP</f>
        <v>8.727272727272728E-06</v>
      </c>
      <c r="N16" s="21">
        <f>N15+M16</f>
        <v>0.002267272727272727</v>
      </c>
    </row>
    <row r="17" spans="1:14" ht="12.75">
      <c r="A17" s="237" t="s">
        <v>67</v>
      </c>
      <c r="B17" s="6">
        <f>MacPayLdHdrP</f>
        <v>96</v>
      </c>
      <c r="C17" s="20">
        <f>B17/bitspersecP</f>
        <v>4.363636363636364E-06</v>
      </c>
      <c r="D17" s="21">
        <f>D16+C17+((Payload_P*8)/bitspersecP)</f>
        <v>0.0028221818181818183</v>
      </c>
      <c r="E17" s="1"/>
      <c r="F17" s="4" t="s">
        <v>85</v>
      </c>
      <c r="G17" s="6">
        <f>Preamble_P+PLCP_P</f>
        <v>192</v>
      </c>
      <c r="H17" s="20">
        <f>G17/bitspersecP</f>
        <v>8.727272727272728E-06</v>
      </c>
      <c r="I17" s="21">
        <f>I16+H17</f>
        <v>0.002267272727272727</v>
      </c>
      <c r="J17" s="1"/>
      <c r="K17" s="4" t="s">
        <v>87</v>
      </c>
      <c r="L17" s="6">
        <f>MacPayLdHdrP</f>
        <v>96</v>
      </c>
      <c r="M17" s="20">
        <f>L17/bitspersecP</f>
        <v>4.363636363636364E-06</v>
      </c>
      <c r="N17" s="21">
        <f>N16+M17+((Payload_P*8)/bitspersecP)</f>
        <v>0.0028221818181818183</v>
      </c>
    </row>
    <row r="18" spans="1:14" ht="12.75">
      <c r="A18" s="237" t="s">
        <v>234</v>
      </c>
      <c r="B18" s="6"/>
      <c r="C18" s="20">
        <f>$B$58</f>
        <v>1E-06</v>
      </c>
      <c r="D18" s="21">
        <f>D17+C18</f>
        <v>0.0028231818181818184</v>
      </c>
      <c r="E18" s="1"/>
      <c r="F18" s="4" t="s">
        <v>87</v>
      </c>
      <c r="G18" s="6">
        <f>MacPayLdHdrP</f>
        <v>96</v>
      </c>
      <c r="H18" s="20">
        <f>G18/bitspersecP</f>
        <v>4.363636363636364E-06</v>
      </c>
      <c r="I18" s="21">
        <f>I17+H18+((Payload_P*8)/bitspersecP)</f>
        <v>0.0028221818181818183</v>
      </c>
      <c r="J18" s="1"/>
      <c r="K18" s="4" t="s">
        <v>56</v>
      </c>
      <c r="L18" s="6"/>
      <c r="M18" s="20">
        <f>aSIFSTIME_P</f>
        <v>1E-05</v>
      </c>
      <c r="N18" s="21">
        <f>N17+M18</f>
        <v>0.0028321818181818183</v>
      </c>
    </row>
    <row r="19" spans="1:14" ht="12.75">
      <c r="A19" s="237" t="s">
        <v>85</v>
      </c>
      <c r="B19" s="6">
        <f>Preamble_P+PLCP_P</f>
        <v>192</v>
      </c>
      <c r="C19" s="20">
        <f>B19/bitspersecP</f>
        <v>8.727272727272728E-06</v>
      </c>
      <c r="D19" s="21">
        <f>D18+C19</f>
        <v>0.002831909090909091</v>
      </c>
      <c r="E19" s="1"/>
      <c r="F19" s="4" t="s">
        <v>56</v>
      </c>
      <c r="G19" s="6"/>
      <c r="H19" s="20">
        <f>aSIFSTIME_P</f>
        <v>1E-05</v>
      </c>
      <c r="I19" s="21">
        <f>I18+H19</f>
        <v>0.0028321818181818183</v>
      </c>
      <c r="J19" s="1"/>
      <c r="K19" s="4" t="s">
        <v>85</v>
      </c>
      <c r="L19" s="6">
        <f>Preamble_P+PLCP_P</f>
        <v>192</v>
      </c>
      <c r="M19" s="20">
        <f>L19/bitspersecP</f>
        <v>8.727272727272728E-06</v>
      </c>
      <c r="N19" s="21">
        <f>N18+M19</f>
        <v>0.002840909090909091</v>
      </c>
    </row>
    <row r="20" spans="1:14" ht="12.75">
      <c r="A20" s="237" t="s">
        <v>69</v>
      </c>
      <c r="B20" s="6">
        <f>MacPayLdHdrP</f>
        <v>96</v>
      </c>
      <c r="C20" s="20">
        <f>B20/bitspersecP</f>
        <v>4.363636363636364E-06</v>
      </c>
      <c r="D20" s="21">
        <f>D19+C20+((Payload_P*8)/bitspersecP)</f>
        <v>0.0033868181818181822</v>
      </c>
      <c r="E20" s="1"/>
      <c r="F20" s="4" t="s">
        <v>85</v>
      </c>
      <c r="G20" s="6">
        <f>Preamble_P+PLCP_P</f>
        <v>192</v>
      </c>
      <c r="H20" s="20">
        <f>G20/bitspersecP</f>
        <v>8.727272727272728E-06</v>
      </c>
      <c r="I20" s="21">
        <f>I19+H20</f>
        <v>0.002840909090909091</v>
      </c>
      <c r="J20" s="17"/>
      <c r="K20" s="238" t="s">
        <v>235</v>
      </c>
      <c r="L20" s="6">
        <f>$B$34</f>
        <v>144</v>
      </c>
      <c r="M20" s="20">
        <f>L20/bitspersecP</f>
        <v>6.545454545454546E-06</v>
      </c>
      <c r="N20" s="21">
        <f>N19+M20</f>
        <v>0.0028474545454545454</v>
      </c>
    </row>
    <row r="21" spans="1:14" ht="12.75">
      <c r="A21" s="237" t="s">
        <v>234</v>
      </c>
      <c r="B21" s="6"/>
      <c r="C21" s="20">
        <f>$B$58</f>
        <v>1E-06</v>
      </c>
      <c r="D21" s="21">
        <f>D20+C21</f>
        <v>0.0033878181818181824</v>
      </c>
      <c r="E21" s="1"/>
      <c r="F21" s="238" t="s">
        <v>235</v>
      </c>
      <c r="G21" s="6">
        <f>$B$34</f>
        <v>144</v>
      </c>
      <c r="H21" s="20">
        <f>G21/bitspersecP</f>
        <v>6.545454545454546E-06</v>
      </c>
      <c r="I21" s="21">
        <f>I20+H21</f>
        <v>0.0028474545454545454</v>
      </c>
      <c r="J21" s="17"/>
      <c r="K21" s="4" t="s">
        <v>56</v>
      </c>
      <c r="L21" s="6"/>
      <c r="M21" s="20">
        <f>aSIFSTIME_P</f>
        <v>1E-05</v>
      </c>
      <c r="N21" s="21">
        <f>N20+M21</f>
        <v>0.0028574545454545454</v>
      </c>
    </row>
    <row r="22" spans="1:14" ht="12.75">
      <c r="A22" s="237" t="s">
        <v>85</v>
      </c>
      <c r="B22" s="6">
        <f>Preamble_P+PLCP_P</f>
        <v>192</v>
      </c>
      <c r="C22" s="20">
        <f>B22/bitspersecP</f>
        <v>8.727272727272728E-06</v>
      </c>
      <c r="D22" s="21">
        <f>D21+C22</f>
        <v>0.003396545454545455</v>
      </c>
      <c r="E22" s="1"/>
      <c r="F22" s="4" t="s">
        <v>56</v>
      </c>
      <c r="G22" s="6"/>
      <c r="H22" s="20">
        <f>aSIFSTIME_P</f>
        <v>1E-05</v>
      </c>
      <c r="I22" s="21">
        <f>I21+H22</f>
        <v>0.0028574545454545454</v>
      </c>
      <c r="J22" s="267"/>
      <c r="K22" s="4" t="s">
        <v>85</v>
      </c>
      <c r="L22" s="6">
        <f>Preamble_P+PLCP_P</f>
        <v>192</v>
      </c>
      <c r="M22" s="20">
        <f>L22/bitspersecP</f>
        <v>8.727272727272728E-06</v>
      </c>
      <c r="N22" s="21">
        <f>N21+M22</f>
        <v>0.002866181818181818</v>
      </c>
    </row>
    <row r="23" spans="1:14" ht="12.75">
      <c r="A23" s="237" t="s">
        <v>71</v>
      </c>
      <c r="B23" s="6">
        <f>MacPayLdHdrP</f>
        <v>96</v>
      </c>
      <c r="C23" s="20">
        <f>B23/bitspersecP</f>
        <v>4.363636363636364E-06</v>
      </c>
      <c r="D23" s="21">
        <f>D22+C23+((Payload_P*8)/bitspersecP)</f>
        <v>0.003951454545454546</v>
      </c>
      <c r="E23" s="1"/>
      <c r="F23" s="4" t="s">
        <v>85</v>
      </c>
      <c r="G23" s="6">
        <f>Preamble_P+PLCP_P</f>
        <v>192</v>
      </c>
      <c r="H23" s="20">
        <f>G23/bitspersecP</f>
        <v>8.727272727272728E-06</v>
      </c>
      <c r="I23" s="21">
        <f>I22+H23</f>
        <v>0.002866181818181818</v>
      </c>
      <c r="J23" s="1"/>
      <c r="K23" s="4" t="s">
        <v>88</v>
      </c>
      <c r="L23" s="6">
        <f>MacPayLdHdrP</f>
        <v>96</v>
      </c>
      <c r="M23" s="20">
        <f>L23/bitspersecP</f>
        <v>4.363636363636364E-06</v>
      </c>
      <c r="N23" s="21">
        <f>N22+M23+((Payload_P*8)/bitspersecP)</f>
        <v>0.0034210909090909092</v>
      </c>
    </row>
    <row r="24" spans="1:14" ht="12.75">
      <c r="A24" s="237" t="s">
        <v>234</v>
      </c>
      <c r="B24" s="6"/>
      <c r="C24" s="20">
        <f>$B$58</f>
        <v>1E-06</v>
      </c>
      <c r="D24" s="21">
        <f>D23+C24</f>
        <v>0.003952454545454546</v>
      </c>
      <c r="E24" s="1"/>
      <c r="F24" s="4" t="s">
        <v>88</v>
      </c>
      <c r="G24" s="6">
        <f>MacPayLdHdrP</f>
        <v>96</v>
      </c>
      <c r="H24" s="20">
        <f>G24/bitspersecP</f>
        <v>4.363636363636364E-06</v>
      </c>
      <c r="I24" s="21">
        <f>I23+H24+((Payload_P*8)/bitspersecP)</f>
        <v>0.0034210909090909092</v>
      </c>
      <c r="J24" s="1"/>
      <c r="K24" s="237" t="s">
        <v>234</v>
      </c>
      <c r="L24" s="6"/>
      <c r="M24" s="20">
        <f>$B$58</f>
        <v>1E-06</v>
      </c>
      <c r="N24" s="21">
        <f>N23+M24</f>
        <v>0.0034220909090909093</v>
      </c>
    </row>
    <row r="25" spans="1:14" ht="12.75">
      <c r="A25" s="237" t="s">
        <v>85</v>
      </c>
      <c r="B25" s="6">
        <f>Preamble_P+PLCP_P</f>
        <v>192</v>
      </c>
      <c r="C25" s="20">
        <f>B25/bitspersecP</f>
        <v>8.727272727272728E-06</v>
      </c>
      <c r="D25" s="21">
        <f>D24+C25</f>
        <v>0.003961181818181819</v>
      </c>
      <c r="E25" s="1"/>
      <c r="F25" s="237" t="s">
        <v>234</v>
      </c>
      <c r="G25" s="6"/>
      <c r="H25" s="20">
        <f>$B$58</f>
        <v>1E-06</v>
      </c>
      <c r="I25" s="21">
        <f>I24+H25</f>
        <v>0.0034220909090909093</v>
      </c>
      <c r="J25" s="1"/>
      <c r="K25" s="4" t="s">
        <v>85</v>
      </c>
      <c r="L25" s="6">
        <f>Preamble_P+PLCP_P</f>
        <v>192</v>
      </c>
      <c r="M25" s="20">
        <f>L25/bitspersecP</f>
        <v>8.727272727272728E-06</v>
      </c>
      <c r="N25" s="21">
        <f>N24+M25</f>
        <v>0.003430818181818182</v>
      </c>
    </row>
    <row r="26" spans="1:14" ht="12.75">
      <c r="A26" s="237" t="s">
        <v>73</v>
      </c>
      <c r="B26" s="6">
        <f>MacPayLdHdrP</f>
        <v>96</v>
      </c>
      <c r="C26" s="20">
        <f>B26/bitspersecP</f>
        <v>4.363636363636364E-06</v>
      </c>
      <c r="D26" s="21">
        <f>D25+C26+((Payload_P*8)/bitspersecP)</f>
        <v>0.004516090909090911</v>
      </c>
      <c r="E26" s="1"/>
      <c r="F26" s="4" t="s">
        <v>85</v>
      </c>
      <c r="G26" s="6">
        <f>Preamble_P+PLCP_P</f>
        <v>192</v>
      </c>
      <c r="H26" s="20">
        <f>G26/bitspersecP</f>
        <v>8.727272727272728E-06</v>
      </c>
      <c r="I26" s="21">
        <f>I25+H26</f>
        <v>0.003430818181818182</v>
      </c>
      <c r="J26" s="1"/>
      <c r="K26" s="4" t="s">
        <v>88</v>
      </c>
      <c r="L26" s="6">
        <f>MacPayLdHdrP</f>
        <v>96</v>
      </c>
      <c r="M26" s="20">
        <f>L26/bitspersecP</f>
        <v>4.363636363636364E-06</v>
      </c>
      <c r="N26" s="21">
        <f>N25+M26+((Payload_P*8)/bitspersecP)</f>
        <v>0.003985727272727273</v>
      </c>
    </row>
    <row r="27" spans="1:14" ht="12.75">
      <c r="A27" s="237" t="s">
        <v>234</v>
      </c>
      <c r="B27" s="6"/>
      <c r="C27" s="20">
        <f>$B$58</f>
        <v>1E-06</v>
      </c>
      <c r="D27" s="21">
        <f>D26+C27</f>
        <v>0.004517090909090911</v>
      </c>
      <c r="E27" s="1"/>
      <c r="F27" s="4" t="s">
        <v>88</v>
      </c>
      <c r="G27" s="6">
        <f>MacPayLdHdrP</f>
        <v>96</v>
      </c>
      <c r="H27" s="20">
        <f>G27/bitspersecP</f>
        <v>4.363636363636364E-06</v>
      </c>
      <c r="I27" s="21">
        <f>I26+H27+((Payload_P*8)/bitspersecP)</f>
        <v>0.003985727272727273</v>
      </c>
      <c r="J27" s="1"/>
      <c r="K27" s="237" t="s">
        <v>234</v>
      </c>
      <c r="L27" s="6"/>
      <c r="M27" s="20">
        <f>$B$58</f>
        <v>1E-06</v>
      </c>
      <c r="N27" s="21">
        <f>N26+M27</f>
        <v>0.003986727272727273</v>
      </c>
    </row>
    <row r="28" spans="1:14" ht="12.75">
      <c r="A28" s="237" t="s">
        <v>85</v>
      </c>
      <c r="B28" s="6">
        <f>Preamble_P+PLCP_P</f>
        <v>192</v>
      </c>
      <c r="C28" s="20">
        <f>B28/bitspersecP</f>
        <v>8.727272727272728E-06</v>
      </c>
      <c r="D28" s="21">
        <f>D27+C28</f>
        <v>0.004525818181818184</v>
      </c>
      <c r="E28" s="1"/>
      <c r="F28" s="237" t="s">
        <v>234</v>
      </c>
      <c r="G28" s="6"/>
      <c r="H28" s="20">
        <f>$B$58</f>
        <v>1E-06</v>
      </c>
      <c r="I28" s="21">
        <f>I27+H28</f>
        <v>0.003986727272727273</v>
      </c>
      <c r="J28" s="1"/>
      <c r="K28" s="4" t="s">
        <v>85</v>
      </c>
      <c r="L28" s="6">
        <f>Preamble_P+PLCP_P</f>
        <v>192</v>
      </c>
      <c r="M28" s="20">
        <f>L28/bitspersecP</f>
        <v>8.727272727272728E-06</v>
      </c>
      <c r="N28" s="21">
        <f>N27+M28</f>
        <v>0.003995454545454546</v>
      </c>
    </row>
    <row r="29" spans="1:14" ht="12.75">
      <c r="A29" s="237" t="s">
        <v>75</v>
      </c>
      <c r="B29" s="6">
        <f>MacPayLdHdrP</f>
        <v>96</v>
      </c>
      <c r="C29" s="20">
        <f>B29/bitspersecP</f>
        <v>4.363636363636364E-06</v>
      </c>
      <c r="D29" s="21">
        <f>D28+C29+((Payload_P*8)/bitspersecP)</f>
        <v>0.005080727272727275</v>
      </c>
      <c r="E29" s="1"/>
      <c r="F29" s="4" t="s">
        <v>85</v>
      </c>
      <c r="G29" s="6">
        <f>Preamble_P+PLCP_P</f>
        <v>192</v>
      </c>
      <c r="H29" s="20">
        <f>G29/bitspersecP</f>
        <v>8.727272727272728E-06</v>
      </c>
      <c r="I29" s="21">
        <f>I28+H29</f>
        <v>0.003995454545454546</v>
      </c>
      <c r="J29" s="1"/>
      <c r="K29" s="4" t="s">
        <v>88</v>
      </c>
      <c r="L29" s="6">
        <f>MacPayLdHdrP</f>
        <v>96</v>
      </c>
      <c r="M29" s="20">
        <f>L29/bitspersecP</f>
        <v>4.363636363636364E-06</v>
      </c>
      <c r="N29" s="21">
        <f>N28+M29+((Payload_P*8)/bitspersecP)</f>
        <v>0.004550363636363637</v>
      </c>
    </row>
    <row r="30" spans="1:14" ht="12.75">
      <c r="A30" s="237" t="s">
        <v>234</v>
      </c>
      <c r="B30" s="6"/>
      <c r="C30" s="20">
        <f>$B$58</f>
        <v>1E-06</v>
      </c>
      <c r="D30" s="21">
        <f>D29+C30</f>
        <v>0.005081727272727275</v>
      </c>
      <c r="E30" s="1"/>
      <c r="F30" s="4" t="s">
        <v>88</v>
      </c>
      <c r="G30" s="6">
        <f>MacPayLdHdrP</f>
        <v>96</v>
      </c>
      <c r="H30" s="20">
        <f>G30/bitspersecP</f>
        <v>4.363636363636364E-06</v>
      </c>
      <c r="I30" s="21">
        <f>I29+H30+((Payload_P*8)/bitspersecP)</f>
        <v>0.004550363636363637</v>
      </c>
      <c r="J30" s="1"/>
      <c r="K30" s="237" t="s">
        <v>234</v>
      </c>
      <c r="L30" s="6"/>
      <c r="M30" s="20">
        <f>$B$58</f>
        <v>1E-06</v>
      </c>
      <c r="N30" s="21">
        <f>N29+M30</f>
        <v>0.004551363636363637</v>
      </c>
    </row>
    <row r="31" spans="1:14" ht="12.75">
      <c r="A31" s="237" t="s">
        <v>85</v>
      </c>
      <c r="B31" s="6">
        <f>Preamble_P+PLCP_P</f>
        <v>192</v>
      </c>
      <c r="C31" s="20">
        <f>B31/bitspersecP</f>
        <v>8.727272727272728E-06</v>
      </c>
      <c r="D31" s="21">
        <f>D30+C31</f>
        <v>0.005090454545454548</v>
      </c>
      <c r="E31" s="1"/>
      <c r="F31" s="237" t="s">
        <v>234</v>
      </c>
      <c r="G31" s="6"/>
      <c r="H31" s="20">
        <f>$B$58</f>
        <v>1E-06</v>
      </c>
      <c r="I31" s="21">
        <f>I30+H31</f>
        <v>0.004551363636363637</v>
      </c>
      <c r="J31" s="1"/>
      <c r="K31" s="4" t="s">
        <v>85</v>
      </c>
      <c r="L31" s="6">
        <f>Preamble_P+PLCP_P</f>
        <v>192</v>
      </c>
      <c r="M31" s="20">
        <f>L31/bitspersecP</f>
        <v>8.727272727272728E-06</v>
      </c>
      <c r="N31" s="21">
        <f>N30+M31</f>
        <v>0.00456009090909091</v>
      </c>
    </row>
    <row r="32" spans="1:14" ht="12.75">
      <c r="A32" s="237" t="s">
        <v>77</v>
      </c>
      <c r="B32" s="6">
        <f>MacPayLdHdrP</f>
        <v>96</v>
      </c>
      <c r="C32" s="20">
        <f>B32/bitspersecP</f>
        <v>4.363636363636364E-06</v>
      </c>
      <c r="D32" s="21">
        <f>D31+C32+((Payload_P*8)/bitspersecP)</f>
        <v>0.005645363636363639</v>
      </c>
      <c r="E32" s="1"/>
      <c r="F32" s="4" t="s">
        <v>85</v>
      </c>
      <c r="G32" s="6">
        <f>Preamble_P+PLCP_P</f>
        <v>192</v>
      </c>
      <c r="H32" s="20">
        <f>G32/bitspersecP</f>
        <v>8.727272727272728E-06</v>
      </c>
      <c r="I32" s="21">
        <f>I31+H32</f>
        <v>0.00456009090909091</v>
      </c>
      <c r="J32" s="1"/>
      <c r="K32" s="4" t="s">
        <v>88</v>
      </c>
      <c r="L32" s="6">
        <f>MacPayLdHdrP</f>
        <v>96</v>
      </c>
      <c r="M32" s="20">
        <f>L32/bitspersecP</f>
        <v>4.363636363636364E-06</v>
      </c>
      <c r="N32" s="21">
        <f>N31+M32+((Payload_P*8)/bitspersecP)</f>
        <v>0.0051150000000000015</v>
      </c>
    </row>
    <row r="33" spans="1:14" ht="12.75">
      <c r="A33" s="237" t="s">
        <v>56</v>
      </c>
      <c r="B33" s="7"/>
      <c r="C33" s="20">
        <f>aSIFSTIME_P</f>
        <v>1E-05</v>
      </c>
      <c r="D33" s="21">
        <f>D32+C33</f>
        <v>0.005655363636363639</v>
      </c>
      <c r="E33" s="1"/>
      <c r="F33" s="4" t="s">
        <v>88</v>
      </c>
      <c r="G33" s="6">
        <f>MacPayLdHdrP</f>
        <v>96</v>
      </c>
      <c r="H33" s="20">
        <f>G33/bitspersecP</f>
        <v>4.363636363636364E-06</v>
      </c>
      <c r="I33" s="21">
        <f>I32+H33+((Payload_P*8)/bitspersecP)</f>
        <v>0.0051150000000000015</v>
      </c>
      <c r="J33" s="1"/>
      <c r="K33" s="237" t="s">
        <v>234</v>
      </c>
      <c r="L33" s="6"/>
      <c r="M33" s="20">
        <f>$B$58</f>
        <v>1E-06</v>
      </c>
      <c r="N33" s="21">
        <f>N32+M33</f>
        <v>0.005116000000000002</v>
      </c>
    </row>
    <row r="34" spans="1:14" ht="12.75">
      <c r="A34" s="238" t="s">
        <v>237</v>
      </c>
      <c r="B34" s="6">
        <f>$B$68</f>
        <v>144</v>
      </c>
      <c r="C34" s="20">
        <f>B34/bitspersecP</f>
        <v>6.545454545454546E-06</v>
      </c>
      <c r="D34" s="21">
        <f>D33+C34</f>
        <v>0.005661909090909093</v>
      </c>
      <c r="E34" s="1"/>
      <c r="F34" s="237" t="s">
        <v>234</v>
      </c>
      <c r="G34" s="6"/>
      <c r="H34" s="20">
        <f>$B$58</f>
        <v>1E-06</v>
      </c>
      <c r="I34" s="21">
        <f>I33+H34</f>
        <v>0.005116000000000002</v>
      </c>
      <c r="J34" s="1"/>
      <c r="K34" s="4" t="s">
        <v>85</v>
      </c>
      <c r="L34" s="6">
        <f>Preamble_P+PLCP_P</f>
        <v>192</v>
      </c>
      <c r="M34" s="20">
        <f>L34/bitspersecP</f>
        <v>8.727272727272728E-06</v>
      </c>
      <c r="N34" s="21">
        <f>N33+M34</f>
        <v>0.005124727272727275</v>
      </c>
    </row>
    <row r="35" spans="1:14" ht="12.75">
      <c r="A35" s="10"/>
      <c r="B35" s="1"/>
      <c r="C35" s="17"/>
      <c r="D35" s="19"/>
      <c r="E35" s="1"/>
      <c r="F35" s="4" t="s">
        <v>85</v>
      </c>
      <c r="G35" s="6">
        <f>Preamble_P+PLCP_P</f>
        <v>192</v>
      </c>
      <c r="H35" s="20">
        <f>G35/bitspersecP</f>
        <v>8.727272727272728E-06</v>
      </c>
      <c r="I35" s="21">
        <f>I34+H35</f>
        <v>0.005124727272727275</v>
      </c>
      <c r="J35" s="1"/>
      <c r="K35" s="4" t="s">
        <v>88</v>
      </c>
      <c r="L35" s="6">
        <f>MacPayLdHdrP</f>
        <v>96</v>
      </c>
      <c r="M35" s="20">
        <f>L35/bitspersecP</f>
        <v>4.363636363636364E-06</v>
      </c>
      <c r="N35" s="21">
        <f>N34+M35+((Payload_P*8)/bitspersecP)</f>
        <v>0.005679636363636366</v>
      </c>
    </row>
    <row r="36" spans="1:14" ht="12.75">
      <c r="A36" s="6" t="s">
        <v>97</v>
      </c>
      <c r="B36" s="6"/>
      <c r="C36" s="20">
        <f>SUM(C4:C34)</f>
        <v>0.00015645454545454543</v>
      </c>
      <c r="D36" s="20" t="s">
        <v>104</v>
      </c>
      <c r="E36" s="1"/>
      <c r="F36" s="4" t="s">
        <v>88</v>
      </c>
      <c r="G36" s="6">
        <f>MacPayLdHdrP</f>
        <v>96</v>
      </c>
      <c r="H36" s="20">
        <f>G36/bitspersecP</f>
        <v>4.363636363636364E-06</v>
      </c>
      <c r="I36" s="21">
        <f>I35+H36+((Payload_P*8)/bitspersecP)</f>
        <v>0.005679636363636366</v>
      </c>
      <c r="J36" s="1"/>
      <c r="K36" s="4" t="s">
        <v>56</v>
      </c>
      <c r="L36" s="6"/>
      <c r="M36" s="20">
        <f>aSIFSTIME_P</f>
        <v>1E-05</v>
      </c>
      <c r="N36" s="21">
        <f>N35+M36</f>
        <v>0.0056896363636363655</v>
      </c>
    </row>
    <row r="37" spans="1:14" ht="12.75">
      <c r="A37" s="6" t="s">
        <v>80</v>
      </c>
      <c r="B37" s="6">
        <f>SUM(B4:B33)</f>
        <v>2880</v>
      </c>
      <c r="C37" s="20"/>
      <c r="D37" s="20"/>
      <c r="E37" s="1"/>
      <c r="F37" s="4" t="s">
        <v>56</v>
      </c>
      <c r="G37" s="6"/>
      <c r="H37" s="20">
        <f>aSIFSTIME_P</f>
        <v>1E-05</v>
      </c>
      <c r="I37" s="21">
        <f>I36+H37</f>
        <v>0.0056896363636363655</v>
      </c>
      <c r="J37" s="1"/>
      <c r="K37" s="4" t="s">
        <v>85</v>
      </c>
      <c r="L37" s="6">
        <f>Preamble_P+PLCP_P</f>
        <v>192</v>
      </c>
      <c r="M37" s="20">
        <f>L37/bitspersecP</f>
        <v>8.727272727272728E-06</v>
      </c>
      <c r="N37" s="21">
        <f>N36+M37</f>
        <v>0.0056983636363636386</v>
      </c>
    </row>
    <row r="38" spans="1:14" ht="12.75">
      <c r="A38" s="6" t="s">
        <v>81</v>
      </c>
      <c r="B38" s="6">
        <f>(COUNTIF(A4:A34,"Data_*")*(Payload_P*8))</f>
        <v>121120</v>
      </c>
      <c r="C38" s="20">
        <f>B38/bitspersecP</f>
        <v>0.005505454545454545</v>
      </c>
      <c r="D38" s="20" t="s">
        <v>104</v>
      </c>
      <c r="F38" s="4" t="s">
        <v>85</v>
      </c>
      <c r="G38" s="6">
        <f>Preamble_P+PLCP_P</f>
        <v>192</v>
      </c>
      <c r="H38" s="20">
        <f>G38/bitspersecP</f>
        <v>8.727272727272728E-06</v>
      </c>
      <c r="I38" s="21">
        <f>I37+H38</f>
        <v>0.0056983636363636386</v>
      </c>
      <c r="J38" s="1"/>
      <c r="K38" s="238" t="s">
        <v>236</v>
      </c>
      <c r="L38" s="6">
        <f>$B$34</f>
        <v>144</v>
      </c>
      <c r="M38" s="20">
        <f>L38/bitspersecP</f>
        <v>6.545454545454546E-06</v>
      </c>
      <c r="N38" s="21">
        <f>N37+M38</f>
        <v>0.005704909090909093</v>
      </c>
    </row>
    <row r="39" spans="1:14" ht="12.75">
      <c r="A39" s="5" t="s">
        <v>103</v>
      </c>
      <c r="B39" s="22"/>
      <c r="C39" s="22">
        <f>C38/(C38+C36)</f>
        <v>0.9723671745797273</v>
      </c>
      <c r="D39" s="22"/>
      <c r="F39" s="238" t="s">
        <v>236</v>
      </c>
      <c r="G39" s="6">
        <f>$B$34</f>
        <v>144</v>
      </c>
      <c r="H39" s="20">
        <f>G39/bitspersecP</f>
        <v>6.545454545454546E-06</v>
      </c>
      <c r="I39" s="21">
        <f>I38+H39</f>
        <v>0.005704909090909093</v>
      </c>
      <c r="J39" s="1"/>
      <c r="K39" s="4" t="s">
        <v>56</v>
      </c>
      <c r="L39" s="7"/>
      <c r="M39" s="20">
        <f>aSIFSTIME_P</f>
        <v>1E-05</v>
      </c>
      <c r="N39" s="21">
        <f>N38+M39</f>
        <v>0.0057149090909090925</v>
      </c>
    </row>
    <row r="40" spans="1:14" ht="12.75">
      <c r="A40" s="5"/>
      <c r="B40" s="22"/>
      <c r="C40" s="22"/>
      <c r="D40" s="22"/>
      <c r="F40" s="4" t="s">
        <v>56</v>
      </c>
      <c r="G40" s="7"/>
      <c r="H40" s="20">
        <f>aSIFSTIME_P</f>
        <v>1E-05</v>
      </c>
      <c r="I40" s="21">
        <f>I39+H40</f>
        <v>0.0057149090909090925</v>
      </c>
      <c r="J40" s="1"/>
      <c r="K40" s="4" t="s">
        <v>85</v>
      </c>
      <c r="L40" s="6">
        <f>Preamble_P+PLCP_P</f>
        <v>192</v>
      </c>
      <c r="M40" s="20">
        <f>L40/bitspersecP</f>
        <v>8.727272727272728E-06</v>
      </c>
      <c r="N40" s="21">
        <f>N39+M40</f>
        <v>0.005723636363636366</v>
      </c>
    </row>
    <row r="41" spans="1:14" ht="12.75">
      <c r="A41" s="6" t="s">
        <v>86</v>
      </c>
      <c r="B41" s="6"/>
      <c r="C41" s="21">
        <f>bitspersecP*C39</f>
        <v>21392077.840754002</v>
      </c>
      <c r="D41" s="21" t="s">
        <v>105</v>
      </c>
      <c r="F41" s="4" t="s">
        <v>85</v>
      </c>
      <c r="G41" s="6">
        <f>Preamble_P+PLCP_P</f>
        <v>192</v>
      </c>
      <c r="H41" s="20">
        <f>G41/bitspersecP</f>
        <v>8.727272727272728E-06</v>
      </c>
      <c r="I41" s="21">
        <f>I40+H41</f>
        <v>0.005723636363636366</v>
      </c>
      <c r="J41" s="1"/>
      <c r="K41" s="4" t="s">
        <v>99</v>
      </c>
      <c r="L41" s="6">
        <f>MacPayLdHdrP</f>
        <v>96</v>
      </c>
      <c r="M41" s="20">
        <f>L41/bitspersecP</f>
        <v>4.363636363636364E-06</v>
      </c>
      <c r="N41" s="21">
        <f>N40+M41+((Payload_P*8)/bitspersecP)</f>
        <v>0.006278545454545457</v>
      </c>
    </row>
    <row r="42" spans="1:14" ht="12.75">
      <c r="A42" s="10"/>
      <c r="B42" s="1"/>
      <c r="C42" s="17"/>
      <c r="D42" s="19"/>
      <c r="F42" s="4" t="s">
        <v>99</v>
      </c>
      <c r="G42" s="6">
        <f>MacPayLdHdrP</f>
        <v>96</v>
      </c>
      <c r="H42" s="20">
        <f>G42/bitspersecP</f>
        <v>4.363636363636364E-06</v>
      </c>
      <c r="I42" s="21">
        <f>I41+H42+((Payload_P*8)/bitspersecP)</f>
        <v>0.006278545454545457</v>
      </c>
      <c r="J42" s="1"/>
      <c r="K42" s="237" t="s">
        <v>234</v>
      </c>
      <c r="L42" s="6"/>
      <c r="M42" s="20">
        <f>$B$58</f>
        <v>1E-06</v>
      </c>
      <c r="N42" s="21">
        <f>N41+M42</f>
        <v>0.006279545454545457</v>
      </c>
    </row>
    <row r="43" spans="2:14" ht="12.75">
      <c r="B43" s="1"/>
      <c r="C43" s="17"/>
      <c r="D43" s="19"/>
      <c r="F43" s="237" t="s">
        <v>234</v>
      </c>
      <c r="G43" s="6"/>
      <c r="H43" s="20">
        <f>$B$58</f>
        <v>1E-06</v>
      </c>
      <c r="I43" s="21">
        <f>I42+H43</f>
        <v>0.006279545454545457</v>
      </c>
      <c r="J43" s="1"/>
      <c r="K43" s="4" t="s">
        <v>85</v>
      </c>
      <c r="L43" s="6">
        <f>Preamble_P+PLCP_P</f>
        <v>192</v>
      </c>
      <c r="M43" s="20">
        <f>L43/bitspersecP</f>
        <v>8.727272727272728E-06</v>
      </c>
      <c r="N43" s="21">
        <f>N42+M43</f>
        <v>0.00628827272727273</v>
      </c>
    </row>
    <row r="44" spans="2:14" ht="12.75">
      <c r="B44" s="1"/>
      <c r="C44" s="17"/>
      <c r="D44" s="19"/>
      <c r="E44" s="17"/>
      <c r="F44" s="4" t="s">
        <v>85</v>
      </c>
      <c r="G44" s="6">
        <f>Preamble_P+PLCP_P</f>
        <v>192</v>
      </c>
      <c r="H44" s="20">
        <f>G44/bitspersecP</f>
        <v>8.727272727272728E-06</v>
      </c>
      <c r="I44" s="21">
        <f>I43+H44</f>
        <v>0.00628827272727273</v>
      </c>
      <c r="J44" s="1"/>
      <c r="K44" s="4" t="s">
        <v>99</v>
      </c>
      <c r="L44" s="6">
        <f>MacPayLdHdrP</f>
        <v>96</v>
      </c>
      <c r="M44" s="20">
        <f>L44/bitspersecP</f>
        <v>4.363636363636364E-06</v>
      </c>
      <c r="N44" s="21">
        <f>N43+M44+((Payload_P*8)/bitspersecP)</f>
        <v>0.006843181818181821</v>
      </c>
    </row>
    <row r="45" spans="1:14" ht="12.75">
      <c r="A45" s="50" t="s">
        <v>317</v>
      </c>
      <c r="B45" s="51"/>
      <c r="C45" s="52"/>
      <c r="D45" s="53"/>
      <c r="F45" s="4" t="s">
        <v>99</v>
      </c>
      <c r="G45" s="6">
        <f>MacPayLdHdrP</f>
        <v>96</v>
      </c>
      <c r="H45" s="20">
        <f>G45/bitspersecP</f>
        <v>4.363636363636364E-06</v>
      </c>
      <c r="I45" s="21">
        <f>I44+H45+((Payload_P*8)/bitspersecP)</f>
        <v>0.006843181818181821</v>
      </c>
      <c r="J45" s="1"/>
      <c r="K45" s="237" t="s">
        <v>234</v>
      </c>
      <c r="L45" s="6"/>
      <c r="M45" s="20">
        <f>$B$58</f>
        <v>1E-06</v>
      </c>
      <c r="N45" s="21">
        <f>N44+M45</f>
        <v>0.006844181818181821</v>
      </c>
    </row>
    <row r="46" spans="1:14" ht="12.75">
      <c r="A46" s="62" t="s">
        <v>134</v>
      </c>
      <c r="B46" s="44"/>
      <c r="C46" s="63"/>
      <c r="D46" s="64"/>
      <c r="F46" s="237" t="s">
        <v>234</v>
      </c>
      <c r="G46" s="6"/>
      <c r="H46" s="20">
        <f>$B$58</f>
        <v>1E-06</v>
      </c>
      <c r="I46" s="21">
        <f>I45+H46</f>
        <v>0.006844181818181821</v>
      </c>
      <c r="J46" s="1"/>
      <c r="K46" s="4" t="s">
        <v>85</v>
      </c>
      <c r="L46" s="6">
        <f>Preamble_P+PLCP_P</f>
        <v>192</v>
      </c>
      <c r="M46" s="20">
        <f>L46/bitspersecP</f>
        <v>8.727272727272728E-06</v>
      </c>
      <c r="N46" s="21">
        <f>N45+M46</f>
        <v>0.006852909090909094</v>
      </c>
    </row>
    <row r="47" spans="1:14" ht="12.75">
      <c r="A47" s="65" t="s">
        <v>133</v>
      </c>
      <c r="B47" s="47"/>
      <c r="C47" s="66"/>
      <c r="D47" s="67"/>
      <c r="F47" s="4" t="s">
        <v>85</v>
      </c>
      <c r="G47" s="6">
        <f>Preamble_P+PLCP_P</f>
        <v>192</v>
      </c>
      <c r="H47" s="20">
        <f>G47/bitspersecP</f>
        <v>8.727272727272728E-06</v>
      </c>
      <c r="I47" s="21">
        <f>I46+H47</f>
        <v>0.006852909090909094</v>
      </c>
      <c r="J47" s="1"/>
      <c r="K47" s="4" t="s">
        <v>99</v>
      </c>
      <c r="L47" s="6">
        <f>MacPayLdHdrP</f>
        <v>96</v>
      </c>
      <c r="M47" s="20">
        <f>L47/bitspersecP</f>
        <v>4.363636363636364E-06</v>
      </c>
      <c r="N47" s="21">
        <f>N46+M47+((Payload_P*8)/bitspersecP)</f>
        <v>0.0074078181818181855</v>
      </c>
    </row>
    <row r="48" spans="1:14" ht="12.75">
      <c r="A48" s="10"/>
      <c r="B48" s="1"/>
      <c r="C48" s="17"/>
      <c r="D48" s="19"/>
      <c r="F48" s="4" t="s">
        <v>99</v>
      </c>
      <c r="G48" s="6">
        <f>MacPayLdHdrP</f>
        <v>96</v>
      </c>
      <c r="H48" s="20">
        <f>G48/bitspersecP</f>
        <v>4.363636363636364E-06</v>
      </c>
      <c r="I48" s="21">
        <f>I47+H48+((Payload_P*8)/bitspersecP)</f>
        <v>0.0074078181818181855</v>
      </c>
      <c r="J48" s="1"/>
      <c r="K48" s="237" t="s">
        <v>234</v>
      </c>
      <c r="L48" s="6"/>
      <c r="M48" s="20">
        <f>$B$58</f>
        <v>1E-06</v>
      </c>
      <c r="N48" s="21">
        <f>N47+M48</f>
        <v>0.007408818181818186</v>
      </c>
    </row>
    <row r="49" spans="1:14" ht="12.75">
      <c r="A49" s="10"/>
      <c r="B49" s="1"/>
      <c r="C49" s="17"/>
      <c r="D49" s="19"/>
      <c r="F49" s="237" t="s">
        <v>234</v>
      </c>
      <c r="G49" s="6"/>
      <c r="H49" s="20">
        <f>$B$58</f>
        <v>1E-06</v>
      </c>
      <c r="I49" s="21">
        <f>I48+H49</f>
        <v>0.007408818181818186</v>
      </c>
      <c r="J49" s="1"/>
      <c r="K49" s="4" t="s">
        <v>85</v>
      </c>
      <c r="L49" s="6">
        <f>Preamble_P+PLCP_P</f>
        <v>192</v>
      </c>
      <c r="M49" s="20">
        <f>L49/bitspersecP</f>
        <v>8.727272727272728E-06</v>
      </c>
      <c r="N49" s="21">
        <f>N48+M49</f>
        <v>0.007417545454545459</v>
      </c>
    </row>
    <row r="50" spans="1:14" ht="12.75">
      <c r="A50" s="10"/>
      <c r="B50" s="1"/>
      <c r="C50" s="17"/>
      <c r="D50" s="19"/>
      <c r="F50" s="4" t="s">
        <v>85</v>
      </c>
      <c r="G50" s="6">
        <f>Preamble_P+PLCP_P</f>
        <v>192</v>
      </c>
      <c r="H50" s="20">
        <f>G50/bitspersecP</f>
        <v>8.727272727272728E-06</v>
      </c>
      <c r="I50" s="21">
        <f>I49+H50</f>
        <v>0.007417545454545459</v>
      </c>
      <c r="K50" s="4" t="s">
        <v>99</v>
      </c>
      <c r="L50" s="6">
        <f>MacPayLdHdrP</f>
        <v>96</v>
      </c>
      <c r="M50" s="20">
        <f>L50/bitspersecP</f>
        <v>4.363636363636364E-06</v>
      </c>
      <c r="N50" s="21">
        <f>N49+M50+((Payload_P*8)/bitspersecP)</f>
        <v>0.00797245454545455</v>
      </c>
    </row>
    <row r="51" spans="1:14" ht="12.75">
      <c r="A51" s="10"/>
      <c r="B51" s="1"/>
      <c r="C51" s="17"/>
      <c r="D51" s="19"/>
      <c r="F51" s="4" t="s">
        <v>99</v>
      </c>
      <c r="G51" s="6">
        <f>MacPayLdHdrP</f>
        <v>96</v>
      </c>
      <c r="H51" s="20">
        <f>G51/bitspersecP</f>
        <v>4.363636363636364E-06</v>
      </c>
      <c r="I51" s="21">
        <f>I50+H51+((Payload_P*8)/bitspersecP)</f>
        <v>0.00797245454545455</v>
      </c>
      <c r="K51" s="237" t="s">
        <v>234</v>
      </c>
      <c r="L51" s="6"/>
      <c r="M51" s="20">
        <f>$B$58</f>
        <v>1E-06</v>
      </c>
      <c r="N51" s="21">
        <f>N50+M51</f>
        <v>0.00797345454545455</v>
      </c>
    </row>
    <row r="52" spans="1:14" ht="12.75">
      <c r="A52" s="10"/>
      <c r="B52" s="1"/>
      <c r="C52" s="17"/>
      <c r="D52" s="19"/>
      <c r="F52" s="237" t="s">
        <v>234</v>
      </c>
      <c r="G52" s="6"/>
      <c r="H52" s="20">
        <f>$B$58</f>
        <v>1E-06</v>
      </c>
      <c r="I52" s="21">
        <f>I51+H52</f>
        <v>0.00797345454545455</v>
      </c>
      <c r="K52" s="4" t="s">
        <v>85</v>
      </c>
      <c r="L52" s="6">
        <f>Preamble_P+PLCP_P</f>
        <v>192</v>
      </c>
      <c r="M52" s="20">
        <f>L52/bitspersecP</f>
        <v>8.727272727272728E-06</v>
      </c>
      <c r="N52" s="21">
        <f>N51+M52</f>
        <v>0.007982181818181822</v>
      </c>
    </row>
    <row r="53" spans="1:14" ht="12.75">
      <c r="A53" s="37" t="s">
        <v>112</v>
      </c>
      <c r="B53" s="38"/>
      <c r="C53" s="39"/>
      <c r="D53" s="19"/>
      <c r="F53" s="4" t="s">
        <v>85</v>
      </c>
      <c r="G53" s="6">
        <f>Preamble_P+PLCP_P</f>
        <v>192</v>
      </c>
      <c r="H53" s="20">
        <f>G53/bitspersecP</f>
        <v>8.727272727272728E-06</v>
      </c>
      <c r="I53" s="21">
        <f>I52+H53</f>
        <v>0.007982181818181822</v>
      </c>
      <c r="K53" s="4" t="s">
        <v>99</v>
      </c>
      <c r="L53" s="6">
        <f>MacPayLdHdrP</f>
        <v>96</v>
      </c>
      <c r="M53" s="20">
        <f>L53/bitspersecP</f>
        <v>4.363636363636364E-06</v>
      </c>
      <c r="N53" s="21">
        <f>N52+M53+((Payload_P*8)/bitspersecP)</f>
        <v>0.008537090909090913</v>
      </c>
    </row>
    <row r="54" spans="1:14" ht="12.75">
      <c r="A54" s="23" t="s">
        <v>106</v>
      </c>
      <c r="B54" s="30">
        <v>22000000</v>
      </c>
      <c r="C54" s="6" t="s">
        <v>105</v>
      </c>
      <c r="D54" s="19"/>
      <c r="F54" s="4" t="s">
        <v>99</v>
      </c>
      <c r="G54" s="6">
        <f>MacPayLdHdrP</f>
        <v>96</v>
      </c>
      <c r="H54" s="20">
        <f>G54/bitspersecP</f>
        <v>4.363636363636364E-06</v>
      </c>
      <c r="I54" s="21">
        <f>I53+H54+((Payload_P*8)/bitspersecP)</f>
        <v>0.008537090909090913</v>
      </c>
      <c r="K54" s="4" t="s">
        <v>56</v>
      </c>
      <c r="L54" s="6"/>
      <c r="M54" s="20">
        <f>aSIFSTIME_P</f>
        <v>1E-05</v>
      </c>
      <c r="N54" s="21">
        <f>N53+M54</f>
        <v>0.008547090909090912</v>
      </c>
    </row>
    <row r="55" spans="1:14" ht="12.75">
      <c r="A55" s="29"/>
      <c r="B55" s="32"/>
      <c r="C55" s="12"/>
      <c r="D55" s="19"/>
      <c r="F55" s="4" t="s">
        <v>56</v>
      </c>
      <c r="G55" s="6"/>
      <c r="H55" s="20">
        <f>aSIFSTIME_P</f>
        <v>1E-05</v>
      </c>
      <c r="I55" s="21">
        <f>I54+H55</f>
        <v>0.008547090909090912</v>
      </c>
      <c r="K55" s="4" t="s">
        <v>85</v>
      </c>
      <c r="L55" s="6">
        <f>Preamble_P+PLCP_P</f>
        <v>192</v>
      </c>
      <c r="M55" s="20">
        <f>L55/bitspersecP</f>
        <v>8.727272727272728E-06</v>
      </c>
      <c r="N55" s="21">
        <f>N54+M55</f>
        <v>0.008555818181818185</v>
      </c>
    </row>
    <row r="56" spans="1:14" ht="12.75">
      <c r="A56" s="23" t="s">
        <v>82</v>
      </c>
      <c r="B56" s="31">
        <v>1E-05</v>
      </c>
      <c r="C56" s="6" t="s">
        <v>104</v>
      </c>
      <c r="D56" s="19"/>
      <c r="F56" s="4" t="s">
        <v>85</v>
      </c>
      <c r="G56" s="6">
        <f>Preamble_P+PLCP_P</f>
        <v>192</v>
      </c>
      <c r="H56" s="20">
        <f>G56/bitspersecP</f>
        <v>8.727272727272728E-06</v>
      </c>
      <c r="I56" s="21">
        <f>I55+H56</f>
        <v>0.008555818181818185</v>
      </c>
      <c r="K56" s="238" t="s">
        <v>239</v>
      </c>
      <c r="L56" s="6">
        <f>$B$34</f>
        <v>144</v>
      </c>
      <c r="M56" s="20">
        <f>L56/bitspersecP</f>
        <v>6.545454545454546E-06</v>
      </c>
      <c r="N56" s="21">
        <f>N55+M56</f>
        <v>0.00856236363636364</v>
      </c>
    </row>
    <row r="57" spans="1:14" ht="12.75">
      <c r="A57" s="23" t="s">
        <v>83</v>
      </c>
      <c r="B57" s="30">
        <v>2E-05</v>
      </c>
      <c r="C57" s="6" t="s">
        <v>104</v>
      </c>
      <c r="D57" s="19"/>
      <c r="F57" s="238" t="s">
        <v>239</v>
      </c>
      <c r="G57" s="6">
        <f>$B$34</f>
        <v>144</v>
      </c>
      <c r="H57" s="20">
        <f>G57/bitspersecP</f>
        <v>6.545454545454546E-06</v>
      </c>
      <c r="I57" s="21">
        <f>I56+H57</f>
        <v>0.00856236363636364</v>
      </c>
      <c r="K57" s="42"/>
      <c r="L57" s="28"/>
      <c r="M57" s="43"/>
      <c r="N57" s="35"/>
    </row>
    <row r="58" spans="1:14" ht="12.75">
      <c r="A58" s="239" t="s">
        <v>238</v>
      </c>
      <c r="B58" s="240">
        <v>1E-06</v>
      </c>
      <c r="C58" s="241" t="s">
        <v>104</v>
      </c>
      <c r="D58" s="19"/>
      <c r="F58" s="42"/>
      <c r="G58" s="28"/>
      <c r="H58" s="43"/>
      <c r="I58" s="35"/>
      <c r="K58" s="6" t="s">
        <v>97</v>
      </c>
      <c r="L58" s="6"/>
      <c r="M58" s="20">
        <f>SUM(M3:M55)</f>
        <v>0.00029763636363636364</v>
      </c>
      <c r="N58" s="20" t="s">
        <v>104</v>
      </c>
    </row>
    <row r="59" spans="1:14" ht="12.75">
      <c r="A59" s="23" t="s">
        <v>90</v>
      </c>
      <c r="B59" s="34">
        <v>144</v>
      </c>
      <c r="C59" s="6" t="s">
        <v>107</v>
      </c>
      <c r="D59" s="19"/>
      <c r="F59" s="6" t="s">
        <v>97</v>
      </c>
      <c r="G59" s="6"/>
      <c r="H59" s="20">
        <f>SUM(H3:H57)</f>
        <v>0.0003141818181818182</v>
      </c>
      <c r="I59" s="20" t="s">
        <v>104</v>
      </c>
      <c r="K59" s="23" t="s">
        <v>80</v>
      </c>
      <c r="L59" s="6">
        <f>SUM(L3:L57)</f>
        <v>5328</v>
      </c>
      <c r="M59" s="6"/>
      <c r="N59" s="20"/>
    </row>
    <row r="60" spans="1:14" ht="12.75">
      <c r="A60" s="23" t="s">
        <v>111</v>
      </c>
      <c r="B60" s="25">
        <v>48</v>
      </c>
      <c r="C60" s="6" t="s">
        <v>107</v>
      </c>
      <c r="D60" s="19"/>
      <c r="F60" s="23" t="s">
        <v>80</v>
      </c>
      <c r="G60" s="6">
        <f>SUM(G3:G58)</f>
        <v>5328</v>
      </c>
      <c r="H60" s="6"/>
      <c r="I60" s="20"/>
      <c r="K60" s="23" t="s">
        <v>115</v>
      </c>
      <c r="L60" s="6">
        <f>(COUNTIF(K3:K55,"Data_*")*(Payload_P*8))</f>
        <v>181680</v>
      </c>
      <c r="M60" s="20">
        <f>L60/bitspersecP</f>
        <v>0.008258181818181819</v>
      </c>
      <c r="N60" s="20" t="s">
        <v>104</v>
      </c>
    </row>
    <row r="61" spans="4:14" ht="12.75">
      <c r="D61" s="19"/>
      <c r="F61" s="23" t="s">
        <v>115</v>
      </c>
      <c r="G61" s="6">
        <f>(COUNTIF(F3:F56,"Data_*")*(Payload_P*8))</f>
        <v>181680</v>
      </c>
      <c r="H61" s="20">
        <f>G61/bitspersecP</f>
        <v>0.008258181818181819</v>
      </c>
      <c r="I61" s="20" t="s">
        <v>104</v>
      </c>
      <c r="K61" s="24" t="s">
        <v>103</v>
      </c>
      <c r="L61" s="22"/>
      <c r="M61" s="22">
        <f>H61/(H61+H59)</f>
        <v>0.9633494527869687</v>
      </c>
      <c r="N61" s="22"/>
    </row>
    <row r="62" spans="1:14" ht="12.75">
      <c r="A62" s="40" t="s">
        <v>114</v>
      </c>
      <c r="B62" s="41"/>
      <c r="C62" s="41"/>
      <c r="D62" s="19"/>
      <c r="F62" s="24" t="s">
        <v>103</v>
      </c>
      <c r="G62" s="22"/>
      <c r="H62" s="22">
        <f>H61/(H61+H59)</f>
        <v>0.9633494527869687</v>
      </c>
      <c r="I62" s="22"/>
      <c r="K62" s="24"/>
      <c r="L62" s="22"/>
      <c r="M62" s="22"/>
      <c r="N62" s="22"/>
    </row>
    <row r="63" spans="1:14" ht="12.75">
      <c r="A63" s="23" t="s">
        <v>91</v>
      </c>
      <c r="B63" s="25">
        <v>1514</v>
      </c>
      <c r="C63" s="6" t="s">
        <v>108</v>
      </c>
      <c r="D63" s="19"/>
      <c r="F63" s="24"/>
      <c r="G63" s="22"/>
      <c r="H63" s="22"/>
      <c r="I63" s="22"/>
      <c r="K63" s="23" t="s">
        <v>86</v>
      </c>
      <c r="L63" s="6"/>
      <c r="M63" s="21">
        <f>bitspersecP*M61</f>
        <v>21193687.96131331</v>
      </c>
      <c r="N63" s="21" t="s">
        <v>105</v>
      </c>
    </row>
    <row r="64" spans="4:9" ht="12.75">
      <c r="D64" s="19"/>
      <c r="F64" s="23" t="s">
        <v>86</v>
      </c>
      <c r="G64" s="6"/>
      <c r="H64" s="21">
        <f>bitspersecP*H62</f>
        <v>21193687.96131331</v>
      </c>
      <c r="I64" s="21" t="s">
        <v>105</v>
      </c>
    </row>
    <row r="65" spans="1:14" ht="13.5" thickBot="1">
      <c r="A65" s="40" t="s">
        <v>113</v>
      </c>
      <c r="B65" s="40"/>
      <c r="C65" s="40"/>
      <c r="D65" s="19"/>
      <c r="K65" s="75" t="s">
        <v>318</v>
      </c>
      <c r="L65" s="77"/>
      <c r="M65" s="77"/>
      <c r="N65" s="78"/>
    </row>
    <row r="66" spans="1:14" ht="13.5" thickTop="1">
      <c r="A66" s="23" t="s">
        <v>120</v>
      </c>
      <c r="B66" s="6">
        <v>96</v>
      </c>
      <c r="C66" s="6" t="s">
        <v>107</v>
      </c>
      <c r="D66" s="18"/>
      <c r="G66" s="28"/>
      <c r="K66" s="245" t="s">
        <v>241</v>
      </c>
      <c r="L66" s="246"/>
      <c r="M66" s="246"/>
      <c r="N66" s="247"/>
    </row>
    <row r="67" spans="1:14" ht="13.5" thickBot="1">
      <c r="A67" s="23" t="s">
        <v>110</v>
      </c>
      <c r="B67" s="6">
        <v>0</v>
      </c>
      <c r="C67" s="6" t="s">
        <v>107</v>
      </c>
      <c r="F67" s="75" t="s">
        <v>321</v>
      </c>
      <c r="G67" s="77"/>
      <c r="H67" s="124"/>
      <c r="I67" s="78"/>
      <c r="K67" s="245" t="s">
        <v>242</v>
      </c>
      <c r="L67" s="246"/>
      <c r="M67" s="246"/>
      <c r="N67" s="247"/>
    </row>
    <row r="68" spans="1:14" ht="13.5" thickTop="1">
      <c r="A68" s="242" t="s">
        <v>240</v>
      </c>
      <c r="B68" s="243">
        <f>112+32</f>
        <v>144</v>
      </c>
      <c r="C68" s="244" t="s">
        <v>107</v>
      </c>
      <c r="F68" s="125"/>
      <c r="G68" s="126"/>
      <c r="H68" s="127"/>
      <c r="I68" s="128"/>
      <c r="K68" s="245" t="s">
        <v>243</v>
      </c>
      <c r="L68" s="246"/>
      <c r="M68" s="246"/>
      <c r="N68" s="247"/>
    </row>
    <row r="69" spans="1:14" ht="12.75">
      <c r="A69" s="276"/>
      <c r="B69" s="280"/>
      <c r="C69" s="268"/>
      <c r="F69" s="54" t="s">
        <v>322</v>
      </c>
      <c r="G69" s="251"/>
      <c r="H69" s="35"/>
      <c r="I69" s="252"/>
      <c r="K69" s="281" t="s">
        <v>244</v>
      </c>
      <c r="L69" s="246"/>
      <c r="M69" s="246"/>
      <c r="N69" s="247"/>
    </row>
    <row r="70" spans="1:14" ht="12.75">
      <c r="A70" s="57" t="s">
        <v>119</v>
      </c>
      <c r="B70" s="56"/>
      <c r="C70" s="56"/>
      <c r="F70" s="54" t="s">
        <v>323</v>
      </c>
      <c r="G70" s="251"/>
      <c r="H70" s="35"/>
      <c r="I70" s="252"/>
      <c r="K70" s="290" t="s">
        <v>245</v>
      </c>
      <c r="L70" s="248"/>
      <c r="M70" s="248"/>
      <c r="N70" s="249"/>
    </row>
    <row r="71" spans="1:9" ht="12.75">
      <c r="A71" t="s">
        <v>320</v>
      </c>
      <c r="F71" s="54"/>
      <c r="G71" s="251" t="s">
        <v>193</v>
      </c>
      <c r="H71" s="43">
        <f>((2*aSIFSTIME_P)+(4*aRIFSTIME)+(6*(Preamble_P+PLCP_P)/bitspersecP)+((5*MacPayLdHdrP)/bitspersecP)+(ACK_P/bitspersecP))</f>
        <v>0.00010472727272727275</v>
      </c>
      <c r="I71" s="253"/>
    </row>
    <row r="72" spans="1:9" ht="12.75">
      <c r="A72" t="s">
        <v>132</v>
      </c>
      <c r="F72" s="54"/>
      <c r="G72" s="251"/>
      <c r="H72" s="43"/>
      <c r="I72" s="252"/>
    </row>
    <row r="73" spans="1:9" ht="12.75">
      <c r="A73" s="45" t="s">
        <v>315</v>
      </c>
      <c r="B73" s="28"/>
      <c r="C73" s="28"/>
      <c r="D73" s="46"/>
      <c r="F73" s="54"/>
      <c r="G73" s="130" t="s">
        <v>324</v>
      </c>
      <c r="H73" s="43">
        <f>5*(Payload_P*8)/bitspersecP</f>
        <v>0.0027527272727272726</v>
      </c>
      <c r="I73" s="252"/>
    </row>
    <row r="74" spans="1:9" ht="12.75">
      <c r="A74" s="45" t="s">
        <v>226</v>
      </c>
      <c r="B74" s="28"/>
      <c r="C74" s="28"/>
      <c r="D74" s="46"/>
      <c r="F74" s="54"/>
      <c r="G74" s="251"/>
      <c r="H74" s="35"/>
      <c r="I74" s="252"/>
    </row>
    <row r="75" spans="1:9" ht="12.75">
      <c r="A75" s="45" t="s">
        <v>228</v>
      </c>
      <c r="B75" s="28"/>
      <c r="C75" s="28"/>
      <c r="D75" s="46"/>
      <c r="F75" s="54" t="s">
        <v>196</v>
      </c>
      <c r="G75" s="251"/>
      <c r="H75" s="35"/>
      <c r="I75" s="252"/>
    </row>
    <row r="76" spans="1:9" ht="12.75">
      <c r="A76" t="s">
        <v>145</v>
      </c>
      <c r="F76" s="54"/>
      <c r="G76" s="251" t="s">
        <v>197</v>
      </c>
      <c r="H76" s="254">
        <f>MacPayLd_TimeP/(MacPayLd_TimeP+MacProtocol_HdrOvrHdTimeP)</f>
        <v>0.9633494527869687</v>
      </c>
      <c r="I76" s="252"/>
    </row>
    <row r="77" spans="1:9" ht="12.75">
      <c r="A77" t="s">
        <v>314</v>
      </c>
      <c r="F77" s="132" t="s">
        <v>198</v>
      </c>
      <c r="G77" s="251"/>
      <c r="H77" s="27"/>
      <c r="I77" s="252"/>
    </row>
    <row r="78" spans="1:9" ht="12.75">
      <c r="A78" t="s">
        <v>144</v>
      </c>
      <c r="F78" s="55"/>
      <c r="G78" s="255" t="s">
        <v>199</v>
      </c>
      <c r="H78" s="256">
        <f>MacPayLd_TimeP/(MacPayLd_TimeP+MacProtocol_HdrOvrHdTimeP)*bitspersecP</f>
        <v>21193687.96131331</v>
      </c>
      <c r="I78" s="257"/>
    </row>
    <row r="79" ht="12.75">
      <c r="A79" t="s">
        <v>123</v>
      </c>
    </row>
    <row r="80" spans="1:5" ht="12.75">
      <c r="A80" t="s">
        <v>232</v>
      </c>
      <c r="E80" s="16"/>
    </row>
    <row r="81" spans="1:5" ht="12.75">
      <c r="A81" t="s">
        <v>143</v>
      </c>
      <c r="E81" s="15"/>
    </row>
    <row r="82" ht="12.75">
      <c r="A82" t="s">
        <v>125</v>
      </c>
    </row>
    <row r="83" ht="12.75">
      <c r="A83" t="s">
        <v>126</v>
      </c>
    </row>
    <row r="84" spans="1:2" ht="12.75">
      <c r="A84" t="s">
        <v>127</v>
      </c>
      <c r="B84" s="16"/>
    </row>
    <row r="85" spans="1:2" ht="12.75">
      <c r="A85" s="60" t="s">
        <v>146</v>
      </c>
      <c r="B85" s="16"/>
    </row>
    <row r="86" spans="1:2" ht="12.75">
      <c r="A86" s="58" t="s">
        <v>128</v>
      </c>
      <c r="B86" s="16"/>
    </row>
    <row r="87" ht="12.75">
      <c r="A87" s="59" t="s">
        <v>129</v>
      </c>
    </row>
    <row r="88" ht="12.75">
      <c r="A88" s="59" t="s">
        <v>130</v>
      </c>
    </row>
    <row r="89" ht="12.75">
      <c r="A89" s="59" t="s">
        <v>131</v>
      </c>
    </row>
    <row r="90" ht="12.75">
      <c r="A90" s="59"/>
    </row>
    <row r="97" ht="12.75">
      <c r="J97" s="61"/>
    </row>
    <row r="98" ht="12.75">
      <c r="J98" s="28"/>
    </row>
    <row r="99" ht="12.75">
      <c r="J99" s="28"/>
    </row>
    <row r="100" ht="12.75">
      <c r="J100" s="28"/>
    </row>
    <row r="101" ht="12.75">
      <c r="J101" s="28"/>
    </row>
  </sheetData>
  <printOptions/>
  <pageMargins left="0.75" right="0.75" top="1" bottom="1" header="0.5" footer="0.5"/>
  <pageSetup horizontalDpi="600" verticalDpi="600" orientation="landscape" r:id="rId1"/>
  <headerFooter alignWithMargins="0">
    <oddHeader>&amp;LNovember, 2000&amp;RIEEE P802.15.3  00/354r1</oddHeader>
    <oddFooter>&amp;LSubmission&amp;C&amp;P&amp;RGreg Parks, Sharewave</oddFooter>
  </headerFooter>
</worksheet>
</file>

<file path=xl/worksheets/sheet8.xml><?xml version="1.0" encoding="utf-8"?>
<worksheet xmlns="http://schemas.openxmlformats.org/spreadsheetml/2006/main" xmlns:r="http://schemas.openxmlformats.org/officeDocument/2006/relationships">
  <dimension ref="A1:O55"/>
  <sheetViews>
    <sheetView zoomScale="75" zoomScaleNormal="75" workbookViewId="0" topLeftCell="A1">
      <pane ySplit="3225" topLeftCell="BM38" activePane="bottomLeft" state="split"/>
      <selection pane="topLeft" activeCell="I9" sqref="I9"/>
      <selection pane="bottomLeft" activeCell="E50" sqref="E50"/>
    </sheetView>
  </sheetViews>
  <sheetFormatPr defaultColWidth="9.140625" defaultRowHeight="12.75"/>
  <cols>
    <col min="6" max="6" width="11.421875" style="0" customWidth="1"/>
    <col min="7" max="7" width="10.28125" style="0" customWidth="1"/>
  </cols>
  <sheetData>
    <row r="1" ht="12.75">
      <c r="D1" s="258" t="s">
        <v>249</v>
      </c>
    </row>
    <row r="2" ht="12.75">
      <c r="D2" s="258" t="s">
        <v>250</v>
      </c>
    </row>
    <row r="3" ht="12.75">
      <c r="D3" s="258"/>
    </row>
    <row r="4" spans="1:8" ht="12.75">
      <c r="A4" s="384" t="s">
        <v>251</v>
      </c>
      <c r="B4" s="384"/>
      <c r="C4" s="384"/>
      <c r="D4" s="384"/>
      <c r="E4" s="384"/>
      <c r="F4" s="384"/>
      <c r="G4" s="384"/>
      <c r="H4" s="259"/>
    </row>
    <row r="5" spans="1:5" ht="12.75">
      <c r="A5" s="384" t="s">
        <v>252</v>
      </c>
      <c r="B5" s="384"/>
      <c r="C5" s="384"/>
      <c r="D5" s="384"/>
      <c r="E5" s="384"/>
    </row>
    <row r="6" spans="1:8" ht="12.75">
      <c r="A6" s="384" t="s">
        <v>253</v>
      </c>
      <c r="B6" s="384"/>
      <c r="C6" s="384"/>
      <c r="D6" s="384"/>
      <c r="E6" s="384"/>
      <c r="F6" s="384"/>
      <c r="G6" s="384"/>
      <c r="H6" s="259"/>
    </row>
    <row r="7" spans="1:8" ht="12.75">
      <c r="A7" s="259" t="s">
        <v>254</v>
      </c>
      <c r="B7" s="259"/>
      <c r="C7" s="259"/>
      <c r="D7" s="259"/>
      <c r="E7" s="259"/>
      <c r="F7" s="259"/>
      <c r="G7" s="259"/>
      <c r="H7" s="259"/>
    </row>
    <row r="8" spans="1:8" ht="12.75">
      <c r="A8" s="259" t="s">
        <v>255</v>
      </c>
      <c r="B8" s="259"/>
      <c r="C8" s="259"/>
      <c r="D8" s="259"/>
      <c r="E8" s="259"/>
      <c r="F8" s="259"/>
      <c r="G8" s="259"/>
      <c r="H8" s="259"/>
    </row>
    <row r="10" spans="1:3" ht="12.75">
      <c r="A10" s="385" t="s">
        <v>256</v>
      </c>
      <c r="B10" s="385"/>
      <c r="C10" s="260">
        <v>104</v>
      </c>
    </row>
    <row r="11" spans="1:3" ht="12.75">
      <c r="A11" s="385" t="s">
        <v>257</v>
      </c>
      <c r="B11" s="385"/>
      <c r="C11" s="260">
        <v>34</v>
      </c>
    </row>
    <row r="12" spans="1:3" ht="12.75">
      <c r="A12" s="385" t="s">
        <v>258</v>
      </c>
      <c r="B12" s="385"/>
      <c r="C12" s="260">
        <v>10</v>
      </c>
    </row>
    <row r="13" spans="1:3" ht="12.75">
      <c r="A13" s="385" t="s">
        <v>259</v>
      </c>
      <c r="B13" s="385"/>
      <c r="C13" s="260">
        <v>19</v>
      </c>
    </row>
    <row r="14" spans="1:3" ht="12.75">
      <c r="A14" s="385" t="s">
        <v>260</v>
      </c>
      <c r="B14" s="385"/>
      <c r="C14" s="260">
        <v>30</v>
      </c>
    </row>
    <row r="15" spans="1:3" ht="12.75">
      <c r="A15" s="105"/>
      <c r="B15" s="105" t="s">
        <v>261</v>
      </c>
      <c r="C15" s="260">
        <v>40</v>
      </c>
    </row>
    <row r="16" spans="1:2" ht="12.75">
      <c r="A16" s="385"/>
      <c r="B16" s="385"/>
    </row>
    <row r="17" spans="1:2" ht="12.75">
      <c r="A17" s="261" t="s">
        <v>262</v>
      </c>
      <c r="B17" s="105"/>
    </row>
    <row r="18" spans="1:2" ht="12.75">
      <c r="A18" s="105"/>
      <c r="B18" s="105"/>
    </row>
    <row r="19" spans="1:14" ht="38.25">
      <c r="A19" s="262" t="s">
        <v>263</v>
      </c>
      <c r="B19" s="262" t="s">
        <v>264</v>
      </c>
      <c r="C19" s="262" t="s">
        <v>265</v>
      </c>
      <c r="D19" s="262" t="s">
        <v>266</v>
      </c>
      <c r="E19" s="262" t="s">
        <v>267</v>
      </c>
      <c r="F19" s="262" t="s">
        <v>268</v>
      </c>
      <c r="G19" s="262" t="s">
        <v>103</v>
      </c>
      <c r="H19" s="262" t="s">
        <v>269</v>
      </c>
      <c r="I19" s="262" t="s">
        <v>270</v>
      </c>
      <c r="J19" s="262" t="s">
        <v>271</v>
      </c>
      <c r="K19" s="262" t="s">
        <v>272</v>
      </c>
      <c r="L19" s="262" t="s">
        <v>273</v>
      </c>
      <c r="M19" s="262" t="s">
        <v>274</v>
      </c>
      <c r="N19" s="262" t="s">
        <v>275</v>
      </c>
    </row>
    <row r="20" spans="1:14" ht="12.75">
      <c r="A20" s="260" t="s">
        <v>276</v>
      </c>
      <c r="B20" s="260" t="s">
        <v>277</v>
      </c>
      <c r="C20" s="260" t="s">
        <v>278</v>
      </c>
      <c r="D20" s="260" t="s">
        <v>279</v>
      </c>
      <c r="E20" s="260" t="s">
        <v>280</v>
      </c>
      <c r="F20" s="260" t="s">
        <v>281</v>
      </c>
      <c r="H20" s="260" t="s">
        <v>282</v>
      </c>
      <c r="I20" s="260" t="s">
        <v>283</v>
      </c>
      <c r="J20" s="260" t="s">
        <v>284</v>
      </c>
      <c r="K20" s="260" t="s">
        <v>285</v>
      </c>
      <c r="L20" s="260" t="s">
        <v>286</v>
      </c>
      <c r="M20" s="260" t="s">
        <v>287</v>
      </c>
      <c r="N20" s="260" t="s">
        <v>288</v>
      </c>
    </row>
    <row r="21" spans="1:14" ht="12.75">
      <c r="A21" s="260">
        <v>512</v>
      </c>
      <c r="B21" s="263">
        <v>24</v>
      </c>
      <c r="C21" s="264">
        <f>A21*8</f>
        <v>4096</v>
      </c>
      <c r="D21" s="263">
        <f>C21/B21</f>
        <v>170.66666666666666</v>
      </c>
      <c r="E21" s="263">
        <f>$C$10*2+C$11*8/B21+C$12+C$13*8/B21+C$14</f>
        <v>265.6666666666667</v>
      </c>
      <c r="F21" s="265">
        <f>B21*D21/(D21+E21)</f>
        <v>9.387318563789151</v>
      </c>
      <c r="G21" s="266">
        <f>F21/B21</f>
        <v>0.3911382734912146</v>
      </c>
      <c r="H21" s="263">
        <f>D21+E21</f>
        <v>436.33333333333337</v>
      </c>
      <c r="I21" s="263">
        <f>100*(1-D21/H21)</f>
        <v>60.88617265087854</v>
      </c>
      <c r="J21" s="263">
        <f>$C$15</f>
        <v>40</v>
      </c>
      <c r="K21" s="263">
        <f>J21+H21</f>
        <v>476.33333333333337</v>
      </c>
      <c r="L21" s="263">
        <f aca="true" t="shared" si="0" ref="L21:N22">K21+$H21</f>
        <v>912.6666666666667</v>
      </c>
      <c r="M21" s="263">
        <f t="shared" si="0"/>
        <v>1349</v>
      </c>
      <c r="N21" s="263">
        <f t="shared" si="0"/>
        <v>1785.3333333333335</v>
      </c>
    </row>
    <row r="22" spans="1:14" ht="12.75">
      <c r="A22" s="260">
        <v>1514</v>
      </c>
      <c r="B22" s="263">
        <v>24</v>
      </c>
      <c r="C22" s="264">
        <f>A22*8</f>
        <v>12112</v>
      </c>
      <c r="D22" s="263">
        <f>C22/B22</f>
        <v>504.6666666666667</v>
      </c>
      <c r="E22" s="263">
        <f>$C$10*2+C$11*8/B22+C$12+C$13*8/B22+C$14</f>
        <v>265.6666666666667</v>
      </c>
      <c r="F22" s="265">
        <f>B22*D22/(D22+E22)</f>
        <v>15.723063608827347</v>
      </c>
      <c r="G22" s="266">
        <f>F22/B22</f>
        <v>0.6551276503678062</v>
      </c>
      <c r="H22" s="263">
        <f>D22+E22</f>
        <v>770.3333333333334</v>
      </c>
      <c r="I22" s="263">
        <f>100*(1-D22/H22)</f>
        <v>34.48723496321938</v>
      </c>
      <c r="J22" s="263">
        <f>$C$15</f>
        <v>40</v>
      </c>
      <c r="K22" s="263">
        <f>J22+H22</f>
        <v>810.3333333333334</v>
      </c>
      <c r="L22" s="263">
        <f t="shared" si="0"/>
        <v>1580.6666666666667</v>
      </c>
      <c r="M22" s="263">
        <f t="shared" si="0"/>
        <v>2351</v>
      </c>
      <c r="N22" s="263">
        <f t="shared" si="0"/>
        <v>3121.3333333333335</v>
      </c>
    </row>
    <row r="23" spans="1:14" ht="12.75">
      <c r="A23" s="260">
        <v>3090</v>
      </c>
      <c r="B23" s="263">
        <v>24</v>
      </c>
      <c r="C23" s="264">
        <f>A23*8</f>
        <v>24720</v>
      </c>
      <c r="D23" s="263">
        <f>C23/B23</f>
        <v>1030</v>
      </c>
      <c r="E23" s="263">
        <f>$C$10*2+C$11*8/B23+C$12+C$13*8/B23+C$14</f>
        <v>265.6666666666667</v>
      </c>
      <c r="F23" s="265">
        <f>B23*D23/(D23+E23)</f>
        <v>19.078981219449446</v>
      </c>
      <c r="G23" s="266">
        <f>F23/B23</f>
        <v>0.7949575508103935</v>
      </c>
      <c r="H23" s="263">
        <f>D23+E23</f>
        <v>1295.6666666666667</v>
      </c>
      <c r="I23" s="263">
        <f>100*(1-D23/H23)</f>
        <v>20.504244918960644</v>
      </c>
      <c r="J23" s="263">
        <f aca="true" t="shared" si="1" ref="J23:J34">$C$15</f>
        <v>40</v>
      </c>
      <c r="K23" s="263">
        <f>J23+H23</f>
        <v>1335.6666666666667</v>
      </c>
      <c r="L23" s="263">
        <f aca="true" t="shared" si="2" ref="L23:N24">K23+$H23</f>
        <v>2631.3333333333335</v>
      </c>
      <c r="M23" s="263">
        <f t="shared" si="2"/>
        <v>3927</v>
      </c>
      <c r="N23" s="263">
        <f t="shared" si="2"/>
        <v>5222.666666666667</v>
      </c>
    </row>
    <row r="24" spans="1:14" ht="12.75">
      <c r="A24" s="260">
        <v>6480</v>
      </c>
      <c r="B24" s="263">
        <v>24</v>
      </c>
      <c r="C24" s="264">
        <f>A24*8</f>
        <v>51840</v>
      </c>
      <c r="D24" s="263">
        <f>C24/B24</f>
        <v>2160</v>
      </c>
      <c r="E24" s="263">
        <f>$C$10*2+C$11*8/B24+C$12+C$13*8/B24+C$14</f>
        <v>265.6666666666667</v>
      </c>
      <c r="F24" s="265">
        <f>B24*D24/(D24+E24)</f>
        <v>21.371444276487566</v>
      </c>
      <c r="G24" s="266">
        <f>F24/B24</f>
        <v>0.8904768448536485</v>
      </c>
      <c r="H24" s="263">
        <f>D24+E24</f>
        <v>2425.6666666666665</v>
      </c>
      <c r="I24" s="263">
        <f>100*(1-D24/H24)</f>
        <v>10.952315514635147</v>
      </c>
      <c r="J24" s="263">
        <f t="shared" si="1"/>
        <v>40</v>
      </c>
      <c r="K24" s="263">
        <f>J24+H24</f>
        <v>2465.6666666666665</v>
      </c>
      <c r="L24" s="263">
        <f t="shared" si="2"/>
        <v>4891.333333333333</v>
      </c>
      <c r="M24" s="263">
        <f t="shared" si="2"/>
        <v>7317</v>
      </c>
      <c r="N24" s="263">
        <f t="shared" si="2"/>
        <v>9742.666666666666</v>
      </c>
    </row>
    <row r="25" spans="1:14" ht="12.75">
      <c r="A25" s="260"/>
      <c r="B25" s="263"/>
      <c r="C25" s="264"/>
      <c r="D25" s="263"/>
      <c r="E25" s="263"/>
      <c r="F25" s="265"/>
      <c r="G25" s="266"/>
      <c r="H25" s="263"/>
      <c r="I25" s="263"/>
      <c r="J25" s="263"/>
      <c r="K25" s="263"/>
      <c r="L25" s="263"/>
      <c r="M25" s="263"/>
      <c r="N25" s="263"/>
    </row>
    <row r="26" spans="1:14" ht="12.75">
      <c r="A26" s="260">
        <v>512</v>
      </c>
      <c r="B26" s="263">
        <v>36</v>
      </c>
      <c r="C26" s="264">
        <f aca="true" t="shared" si="3" ref="C26:C34">A26*8</f>
        <v>4096</v>
      </c>
      <c r="D26" s="263">
        <f>C26/B26</f>
        <v>113.77777777777777</v>
      </c>
      <c r="E26" s="263">
        <f>$C$10*2+C$11*8/B26+C$12+C$13*8/B26+C$14</f>
        <v>259.77777777777777</v>
      </c>
      <c r="F26" s="265">
        <f>B26*D26/(D26+E26)</f>
        <v>10.964901844140392</v>
      </c>
      <c r="G26" s="266">
        <f>F26/B26</f>
        <v>0.3045806067816776</v>
      </c>
      <c r="H26" s="263">
        <f>D26+E26</f>
        <v>373.55555555555554</v>
      </c>
      <c r="I26" s="263">
        <f>100*(1-D26/H26)</f>
        <v>69.54193932183223</v>
      </c>
      <c r="J26" s="263">
        <f t="shared" si="1"/>
        <v>40</v>
      </c>
      <c r="K26" s="263">
        <f>J26+H26</f>
        <v>413.55555555555554</v>
      </c>
      <c r="L26" s="263">
        <f aca="true" t="shared" si="4" ref="L26:N29">K26+$H26</f>
        <v>787.1111111111111</v>
      </c>
      <c r="M26" s="263">
        <f t="shared" si="4"/>
        <v>1160.6666666666665</v>
      </c>
      <c r="N26" s="263">
        <f t="shared" si="4"/>
        <v>1534.2222222222222</v>
      </c>
    </row>
    <row r="27" spans="1:14" ht="12.75">
      <c r="A27" s="260">
        <v>1514</v>
      </c>
      <c r="B27" s="263">
        <v>36</v>
      </c>
      <c r="C27" s="264">
        <f>A27*8</f>
        <v>12112</v>
      </c>
      <c r="D27" s="263">
        <f>C27/B27</f>
        <v>336.44444444444446</v>
      </c>
      <c r="E27" s="263">
        <f>$C$10*2+C$11*8/B27+C$12+C$13*8/B27+C$14</f>
        <v>259.77777777777777</v>
      </c>
      <c r="F27" s="265">
        <f>B27*D27/(D27+E27)</f>
        <v>20.314573238911667</v>
      </c>
      <c r="G27" s="266">
        <f>F27/B27</f>
        <v>0.5642937010808796</v>
      </c>
      <c r="H27" s="263">
        <f>D27+E27</f>
        <v>596.2222222222222</v>
      </c>
      <c r="I27" s="263">
        <f>100*(1-D27/H27)</f>
        <v>43.57062989191203</v>
      </c>
      <c r="J27" s="263">
        <f t="shared" si="1"/>
        <v>40</v>
      </c>
      <c r="K27" s="263">
        <f>J27+H27</f>
        <v>636.2222222222222</v>
      </c>
      <c r="L27" s="263">
        <f t="shared" si="4"/>
        <v>1232.4444444444443</v>
      </c>
      <c r="M27" s="263">
        <f t="shared" si="4"/>
        <v>1828.6666666666665</v>
      </c>
      <c r="N27" s="263">
        <f t="shared" si="4"/>
        <v>2424.8888888888887</v>
      </c>
    </row>
    <row r="28" spans="1:14" ht="12.75">
      <c r="A28" s="260">
        <v>3230</v>
      </c>
      <c r="B28" s="263">
        <v>36</v>
      </c>
      <c r="C28" s="264">
        <f t="shared" si="3"/>
        <v>25840</v>
      </c>
      <c r="D28" s="263">
        <f>C28/B28</f>
        <v>717.7777777777778</v>
      </c>
      <c r="E28" s="263">
        <f>$C$10*2+C$11*8/B28+C$12+C$13*8/B28+C$14</f>
        <v>259.77777777777777</v>
      </c>
      <c r="F28" s="265">
        <f>B28*D28/(D28+E28)</f>
        <v>26.43328029097522</v>
      </c>
      <c r="G28" s="266">
        <f>F28/B28</f>
        <v>0.7342577858604228</v>
      </c>
      <c r="H28" s="263">
        <f>D28+E28</f>
        <v>977.5555555555557</v>
      </c>
      <c r="I28" s="263">
        <f>100*(1-D28/H28)</f>
        <v>26.574221413957723</v>
      </c>
      <c r="J28" s="263">
        <f t="shared" si="1"/>
        <v>40</v>
      </c>
      <c r="K28" s="263">
        <f>J28+H28</f>
        <v>1017.5555555555557</v>
      </c>
      <c r="L28" s="263">
        <f t="shared" si="4"/>
        <v>1995.1111111111113</v>
      </c>
      <c r="M28" s="263">
        <f t="shared" si="4"/>
        <v>2972.666666666667</v>
      </c>
      <c r="N28" s="263">
        <f t="shared" si="4"/>
        <v>3950.2222222222226</v>
      </c>
    </row>
    <row r="29" spans="1:14" ht="12.75">
      <c r="A29" s="260">
        <v>8000</v>
      </c>
      <c r="B29" s="263">
        <v>36</v>
      </c>
      <c r="C29" s="264">
        <f t="shared" si="3"/>
        <v>64000</v>
      </c>
      <c r="D29" s="263">
        <f>C29/B29</f>
        <v>1777.7777777777778</v>
      </c>
      <c r="E29" s="263">
        <f>$C$10*2+C$11*8/B29+C$12+C$13*8/B29+C$14</f>
        <v>259.77777777777777</v>
      </c>
      <c r="F29" s="265">
        <f>B29*D29/(D29+E29)</f>
        <v>31.41018649798233</v>
      </c>
      <c r="G29" s="266">
        <f>F29/B29</f>
        <v>0.8725051804995092</v>
      </c>
      <c r="H29" s="263">
        <f>D29+E29</f>
        <v>2037.5555555555557</v>
      </c>
      <c r="I29" s="263">
        <f>100*(1-D29/H29)</f>
        <v>12.74948195004908</v>
      </c>
      <c r="J29" s="263">
        <f t="shared" si="1"/>
        <v>40</v>
      </c>
      <c r="K29" s="263">
        <f>J29+H29</f>
        <v>2077.5555555555557</v>
      </c>
      <c r="L29" s="263">
        <f t="shared" si="4"/>
        <v>4115.111111111111</v>
      </c>
      <c r="M29" s="263">
        <f t="shared" si="4"/>
        <v>6152.666666666667</v>
      </c>
      <c r="N29" s="263">
        <f t="shared" si="4"/>
        <v>8190.222222222223</v>
      </c>
    </row>
    <row r="30" spans="1:14" ht="12.75">
      <c r="A30" s="260"/>
      <c r="B30" s="263"/>
      <c r="C30" s="264">
        <f t="shared" si="3"/>
        <v>0</v>
      </c>
      <c r="D30" s="263"/>
      <c r="E30" s="263"/>
      <c r="F30" s="265"/>
      <c r="G30" s="266"/>
      <c r="H30" s="263"/>
      <c r="I30" s="263"/>
      <c r="J30" s="263"/>
      <c r="K30" s="263"/>
      <c r="L30" s="263"/>
      <c r="M30" s="263"/>
      <c r="N30" s="263"/>
    </row>
    <row r="31" spans="1:14" ht="12.75">
      <c r="A31" s="260">
        <v>512</v>
      </c>
      <c r="B31" s="263">
        <v>48</v>
      </c>
      <c r="C31" s="264">
        <f t="shared" si="3"/>
        <v>4096</v>
      </c>
      <c r="D31" s="263">
        <f>C31/B31</f>
        <v>85.33333333333333</v>
      </c>
      <c r="E31" s="263">
        <f>$C$10*2+C$11*8/B31+C$12+C$13*8/B31+C$14</f>
        <v>256.8333333333333</v>
      </c>
      <c r="F31" s="265">
        <f>B31*D31/(D31+E31)</f>
        <v>11.970774476376036</v>
      </c>
      <c r="G31" s="266">
        <f>F31/B31</f>
        <v>0.24939113492450074</v>
      </c>
      <c r="H31" s="263">
        <f>D31+E31</f>
        <v>342.16666666666663</v>
      </c>
      <c r="I31" s="263">
        <f>100*(1-D31/H31)</f>
        <v>75.06088650754992</v>
      </c>
      <c r="J31" s="263">
        <f t="shared" si="1"/>
        <v>40</v>
      </c>
      <c r="K31" s="263">
        <f>J31+H31</f>
        <v>382.16666666666663</v>
      </c>
      <c r="L31" s="263">
        <f aca="true" t="shared" si="5" ref="L31:N34">K31+$H31</f>
        <v>724.3333333333333</v>
      </c>
      <c r="M31" s="263">
        <f t="shared" si="5"/>
        <v>1066.5</v>
      </c>
      <c r="N31" s="263">
        <f t="shared" si="5"/>
        <v>1408.6666666666665</v>
      </c>
    </row>
    <row r="32" spans="1:14" ht="12.75">
      <c r="A32" s="260">
        <v>1514</v>
      </c>
      <c r="B32" s="263">
        <v>48</v>
      </c>
      <c r="C32" s="264">
        <f>A32*8</f>
        <v>12112</v>
      </c>
      <c r="D32" s="263">
        <f>C32/B32</f>
        <v>252.33333333333334</v>
      </c>
      <c r="E32" s="263">
        <f>$C$10*2+C$11*8/B32+C$12+C$13*8/B32+C$14</f>
        <v>256.8333333333333</v>
      </c>
      <c r="F32" s="265">
        <f>B32*D32/(D32+E32)</f>
        <v>23.787888707037645</v>
      </c>
      <c r="G32" s="266">
        <f>F32/B32</f>
        <v>0.4955810147299509</v>
      </c>
      <c r="H32" s="263">
        <f>D32+E32</f>
        <v>509.16666666666663</v>
      </c>
      <c r="I32" s="263">
        <f>100*(1-D32/H32)</f>
        <v>50.4418985270049</v>
      </c>
      <c r="J32" s="263">
        <f t="shared" si="1"/>
        <v>40</v>
      </c>
      <c r="K32" s="263">
        <f>J32+H32</f>
        <v>549.1666666666666</v>
      </c>
      <c r="L32" s="263">
        <f t="shared" si="5"/>
        <v>1058.3333333333333</v>
      </c>
      <c r="M32" s="263">
        <f t="shared" si="5"/>
        <v>1567.5</v>
      </c>
      <c r="N32" s="263">
        <f t="shared" si="5"/>
        <v>2076.6666666666665</v>
      </c>
    </row>
    <row r="33" spans="1:14" ht="12.75">
      <c r="A33" s="260">
        <v>4860</v>
      </c>
      <c r="B33" s="263">
        <v>48</v>
      </c>
      <c r="C33" s="264">
        <f t="shared" si="3"/>
        <v>38880</v>
      </c>
      <c r="D33" s="263">
        <f>C33/B33</f>
        <v>810</v>
      </c>
      <c r="E33" s="263">
        <f>$C$10*2+C$11*8/B33+C$12+C$13*8/B33+C$14</f>
        <v>256.8333333333333</v>
      </c>
      <c r="F33" s="265">
        <f>B33*D33/(D33+E33)</f>
        <v>36.44430557725356</v>
      </c>
      <c r="G33" s="266">
        <f>F33/B33</f>
        <v>0.7592563661927825</v>
      </c>
      <c r="H33" s="263">
        <f>D33+E33</f>
        <v>1066.8333333333333</v>
      </c>
      <c r="I33" s="263">
        <f>100*(1-D33/H33)</f>
        <v>24.074363380721753</v>
      </c>
      <c r="J33" s="263">
        <f t="shared" si="1"/>
        <v>40</v>
      </c>
      <c r="K33" s="263">
        <f>J33+H33</f>
        <v>1106.8333333333333</v>
      </c>
      <c r="L33" s="263">
        <f t="shared" si="5"/>
        <v>2173.6666666666665</v>
      </c>
      <c r="M33" s="263">
        <f t="shared" si="5"/>
        <v>3240.5</v>
      </c>
      <c r="N33" s="263">
        <f t="shared" si="5"/>
        <v>4307.333333333333</v>
      </c>
    </row>
    <row r="34" spans="1:14" ht="12.75">
      <c r="A34" s="260">
        <v>8000</v>
      </c>
      <c r="B34" s="263">
        <v>48</v>
      </c>
      <c r="C34" s="264">
        <f t="shared" si="3"/>
        <v>64000</v>
      </c>
      <c r="D34" s="263">
        <f>C34/B34</f>
        <v>1333.3333333333333</v>
      </c>
      <c r="E34" s="263">
        <f>$C$10*2+C$11*8/B34+C$12+C$13*8/B34+C$14</f>
        <v>256.8333333333333</v>
      </c>
      <c r="F34" s="265">
        <f>B34*D34/(D34+E34)</f>
        <v>40.24735352688398</v>
      </c>
      <c r="G34" s="266">
        <f>F34/B34</f>
        <v>0.8384865318100828</v>
      </c>
      <c r="H34" s="263">
        <f>D34+E34</f>
        <v>1590.1666666666665</v>
      </c>
      <c r="I34" s="263">
        <f>100*(1-D34/H34)</f>
        <v>16.15134681899172</v>
      </c>
      <c r="J34" s="263">
        <f t="shared" si="1"/>
        <v>40</v>
      </c>
      <c r="K34" s="263">
        <f>J34+H34</f>
        <v>1630.1666666666665</v>
      </c>
      <c r="L34" s="263">
        <f t="shared" si="5"/>
        <v>3220.333333333333</v>
      </c>
      <c r="M34" s="263">
        <f t="shared" si="5"/>
        <v>4810.5</v>
      </c>
      <c r="N34" s="263">
        <f t="shared" si="5"/>
        <v>6400.666666666666</v>
      </c>
    </row>
    <row r="36" spans="1:11" ht="12.75">
      <c r="A36" s="261" t="s">
        <v>289</v>
      </c>
      <c r="B36" s="263"/>
      <c r="C36" s="264"/>
      <c r="D36" s="263"/>
      <c r="E36" s="263"/>
      <c r="F36" s="265"/>
      <c r="G36" s="263"/>
      <c r="H36" s="263"/>
      <c r="I36" s="263"/>
      <c r="J36" s="263"/>
      <c r="K36" s="263"/>
    </row>
    <row r="37" spans="1:11" ht="12.75">
      <c r="A37" s="260"/>
      <c r="B37" s="263"/>
      <c r="C37" s="264"/>
      <c r="D37" s="263"/>
      <c r="E37" s="263"/>
      <c r="F37" s="265"/>
      <c r="G37" s="263"/>
      <c r="H37" s="263"/>
      <c r="I37" s="263"/>
      <c r="J37" s="263"/>
      <c r="K37" s="263"/>
    </row>
    <row r="38" spans="1:15" ht="51">
      <c r="A38" s="262" t="s">
        <v>263</v>
      </c>
      <c r="B38" s="262" t="s">
        <v>264</v>
      </c>
      <c r="C38" s="262" t="s">
        <v>265</v>
      </c>
      <c r="D38" s="262" t="s">
        <v>290</v>
      </c>
      <c r="E38" s="262" t="s">
        <v>291</v>
      </c>
      <c r="F38" s="262" t="s">
        <v>292</v>
      </c>
      <c r="G38" s="262" t="s">
        <v>103</v>
      </c>
      <c r="H38" s="262" t="s">
        <v>293</v>
      </c>
      <c r="I38" s="262" t="s">
        <v>294</v>
      </c>
      <c r="J38" s="262" t="s">
        <v>295</v>
      </c>
      <c r="K38" s="262" t="s">
        <v>296</v>
      </c>
      <c r="L38" s="262" t="s">
        <v>297</v>
      </c>
      <c r="M38" s="262" t="s">
        <v>298</v>
      </c>
      <c r="N38" s="262" t="s">
        <v>299</v>
      </c>
      <c r="O38" s="262" t="s">
        <v>300</v>
      </c>
    </row>
    <row r="39" spans="1:15" ht="12.75">
      <c r="A39" s="260" t="s">
        <v>276</v>
      </c>
      <c r="B39" s="260" t="s">
        <v>277</v>
      </c>
      <c r="C39" s="260" t="s">
        <v>278</v>
      </c>
      <c r="D39" s="260" t="s">
        <v>279</v>
      </c>
      <c r="E39" s="260" t="s">
        <v>280</v>
      </c>
      <c r="F39" s="260" t="s">
        <v>281</v>
      </c>
      <c r="G39" s="329"/>
      <c r="H39" s="260" t="s">
        <v>301</v>
      </c>
      <c r="I39" s="260" t="s">
        <v>282</v>
      </c>
      <c r="J39" s="260" t="s">
        <v>283</v>
      </c>
      <c r="K39" s="260" t="s">
        <v>284</v>
      </c>
      <c r="L39" s="260" t="s">
        <v>285</v>
      </c>
      <c r="M39" s="260" t="s">
        <v>286</v>
      </c>
      <c r="N39" s="260" t="s">
        <v>287</v>
      </c>
      <c r="O39" s="260" t="s">
        <v>288</v>
      </c>
    </row>
    <row r="40" spans="1:15" ht="12.75">
      <c r="A40" s="260">
        <v>600</v>
      </c>
      <c r="B40" s="263">
        <v>22</v>
      </c>
      <c r="C40" s="264">
        <f>A40*8</f>
        <v>4800</v>
      </c>
      <c r="D40" s="263">
        <f>C40/B40</f>
        <v>218.1818181818182</v>
      </c>
      <c r="E40" s="263">
        <f>$C$10*5+C$11*8/B40*3+C$12*3+C$13*8/B40*3+C$14*2</f>
        <v>667.8181818181819</v>
      </c>
      <c r="F40" s="265">
        <f>$B40*$D40*3/($D40*3+$E40)</f>
        <v>10.889591640313487</v>
      </c>
      <c r="G40" s="329">
        <f>F40/B40</f>
        <v>0.4949814381960676</v>
      </c>
      <c r="H40" s="265">
        <f>$B40*$D40/($D40*3+$E40)</f>
        <v>3.629863880104496</v>
      </c>
      <c r="I40" s="263">
        <f>D40*3+E40</f>
        <v>1322.3636363636365</v>
      </c>
      <c r="J40" s="263">
        <f>100*(1-3*D40/I40)</f>
        <v>50.50185618039325</v>
      </c>
      <c r="K40" s="263">
        <f aca="true" t="shared" si="6" ref="K40:K50">$C$15</f>
        <v>40</v>
      </c>
      <c r="L40" s="263">
        <f aca="true" t="shared" si="7" ref="L40:O42">K40+$E$21+$D40</f>
        <v>523.8484848484849</v>
      </c>
      <c r="M40" s="263">
        <f t="shared" si="7"/>
        <v>1007.6969696969697</v>
      </c>
      <c r="N40" s="263">
        <f t="shared" si="7"/>
        <v>1491.5454545454547</v>
      </c>
      <c r="O40" s="263">
        <f t="shared" si="7"/>
        <v>1975.3939393939397</v>
      </c>
    </row>
    <row r="41" spans="1:15" ht="12.75">
      <c r="A41" s="260">
        <v>1514</v>
      </c>
      <c r="B41" s="263">
        <v>22</v>
      </c>
      <c r="C41" s="264">
        <f>A41*8</f>
        <v>12112</v>
      </c>
      <c r="D41" s="263">
        <f>C41/B41</f>
        <v>550.5454545454545</v>
      </c>
      <c r="E41" s="263">
        <f>$C$10*5+C$11*8/B41*3+C$12*3+C$13*8/B41*3+C$14*2</f>
        <v>667.8181818181819</v>
      </c>
      <c r="F41" s="265">
        <f>$B41*$D41*3/($D41*3+$E41)</f>
        <v>15.665752136082151</v>
      </c>
      <c r="G41" s="329">
        <f>F41/B41</f>
        <v>0.7120796425491887</v>
      </c>
      <c r="H41" s="265">
        <f>$B41*$D41/($D41*3+$E41)</f>
        <v>5.22191737869405</v>
      </c>
      <c r="I41" s="263">
        <f>D41*3+E41</f>
        <v>2319.4545454545455</v>
      </c>
      <c r="J41" s="263">
        <f>100*(1-3*D41/I41)</f>
        <v>28.792035745081137</v>
      </c>
      <c r="K41" s="263">
        <f t="shared" si="6"/>
        <v>40</v>
      </c>
      <c r="L41" s="263">
        <f t="shared" si="7"/>
        <v>856.2121212121212</v>
      </c>
      <c r="M41" s="263">
        <f t="shared" si="7"/>
        <v>1672.4242424242425</v>
      </c>
      <c r="N41" s="263">
        <f t="shared" si="7"/>
        <v>2488.636363636364</v>
      </c>
      <c r="O41" s="263">
        <f t="shared" si="7"/>
        <v>3304.848484848485</v>
      </c>
    </row>
    <row r="42" spans="1:15" ht="12.75">
      <c r="A42" s="260">
        <v>8000</v>
      </c>
      <c r="B42" s="263">
        <v>22</v>
      </c>
      <c r="C42" s="264">
        <f aca="true" t="shared" si="8" ref="C42:C50">A42*8</f>
        <v>64000</v>
      </c>
      <c r="D42" s="263">
        <f aca="true" t="shared" si="9" ref="D42:D50">C42/B42</f>
        <v>2909.090909090909</v>
      </c>
      <c r="E42" s="263">
        <f>$C$10*5+C$11*8/B42*3+C$12*3+C$13*8/B42*3+C$14*2</f>
        <v>667.8181818181819</v>
      </c>
      <c r="F42" s="265">
        <f aca="true" t="shared" si="10" ref="F42:F50">$B42*$D42*3/($D42*3+$E42)</f>
        <v>20.436204594275537</v>
      </c>
      <c r="G42" s="329">
        <f>F42/B42</f>
        <v>0.928918390648888</v>
      </c>
      <c r="H42" s="265">
        <f aca="true" t="shared" si="11" ref="H42:H50">$B42*$D42/($D42*3+$E42)</f>
        <v>6.812068198091846</v>
      </c>
      <c r="I42" s="263">
        <f aca="true" t="shared" si="12" ref="I42:I50">D42*3+E42</f>
        <v>9395.09090909091</v>
      </c>
      <c r="J42" s="263">
        <f>100*(1-3*D42/I42)</f>
        <v>7.108160935111185</v>
      </c>
      <c r="K42" s="263">
        <f t="shared" si="6"/>
        <v>40</v>
      </c>
      <c r="L42" s="263">
        <f t="shared" si="7"/>
        <v>3214.7575757575755</v>
      </c>
      <c r="M42" s="263">
        <f t="shared" si="7"/>
        <v>6389.515151515151</v>
      </c>
      <c r="N42" s="263">
        <f t="shared" si="7"/>
        <v>9564.272727272728</v>
      </c>
      <c r="O42" s="263">
        <f t="shared" si="7"/>
        <v>12739.030303030304</v>
      </c>
    </row>
    <row r="43" spans="1:13" ht="12.75">
      <c r="A43" s="260"/>
      <c r="B43" s="263"/>
      <c r="C43" s="264"/>
      <c r="D43" s="263"/>
      <c r="E43" s="263"/>
      <c r="F43" s="265"/>
      <c r="G43" s="329"/>
      <c r="H43" s="265"/>
      <c r="I43" s="263"/>
      <c r="J43" s="263"/>
      <c r="K43" s="263"/>
      <c r="L43" s="263"/>
      <c r="M43" s="263"/>
    </row>
    <row r="44" spans="1:15" ht="12.75">
      <c r="A44" s="260">
        <v>512</v>
      </c>
      <c r="B44" s="263">
        <v>33</v>
      </c>
      <c r="C44" s="264">
        <f t="shared" si="8"/>
        <v>4096</v>
      </c>
      <c r="D44" s="263">
        <f t="shared" si="9"/>
        <v>124.12121212121212</v>
      </c>
      <c r="E44" s="263">
        <f>$C$10*5+C$11*8/B44*3+C$12*3+C$13*8/B44*3+C$14*2</f>
        <v>648.5454545454546</v>
      </c>
      <c r="F44" s="265">
        <f t="shared" si="10"/>
        <v>12.036331255565448</v>
      </c>
      <c r="G44" s="329">
        <f>F44/B44</f>
        <v>0.36473731077471055</v>
      </c>
      <c r="H44" s="265">
        <f t="shared" si="11"/>
        <v>4.012110418521816</v>
      </c>
      <c r="I44" s="263">
        <f t="shared" si="12"/>
        <v>1020.909090909091</v>
      </c>
      <c r="J44" s="263">
        <f>100*(1-3*D44/I44)</f>
        <v>63.52626892252895</v>
      </c>
      <c r="K44" s="263">
        <f t="shared" si="6"/>
        <v>40</v>
      </c>
      <c r="L44" s="263">
        <f>K44+$E$26+$D44</f>
        <v>423.8989898989899</v>
      </c>
      <c r="M44" s="263">
        <f aca="true" t="shared" si="13" ref="M44:O46">L44+$E$26+$D44</f>
        <v>807.7979797979798</v>
      </c>
      <c r="N44" s="263">
        <f t="shared" si="13"/>
        <v>1191.6969696969695</v>
      </c>
      <c r="O44" s="263">
        <f t="shared" si="13"/>
        <v>1575.5959595959594</v>
      </c>
    </row>
    <row r="45" spans="1:15" ht="12.75">
      <c r="A45" s="260">
        <v>1514</v>
      </c>
      <c r="B45" s="263">
        <v>33</v>
      </c>
      <c r="C45" s="264">
        <f>A45*8</f>
        <v>12112</v>
      </c>
      <c r="D45" s="263">
        <f>C45/B45</f>
        <v>367.030303030303</v>
      </c>
      <c r="E45" s="263">
        <f>$C$10*5+C$11*8/B45*3+C$12*3+C$13*8/B45*3+C$14*2</f>
        <v>648.5454545454546</v>
      </c>
      <c r="F45" s="265">
        <f t="shared" si="10"/>
        <v>20.76774394679414</v>
      </c>
      <c r="G45" s="329">
        <f>F45/B45</f>
        <v>0.629325574145277</v>
      </c>
      <c r="H45" s="265">
        <f t="shared" si="11"/>
        <v>6.9225813155980465</v>
      </c>
      <c r="I45" s="263">
        <f>D45*3+E45</f>
        <v>1749.6363636363635</v>
      </c>
      <c r="J45" s="263">
        <f>100*(1-3*D45/I45)</f>
        <v>37.06744258547231</v>
      </c>
      <c r="K45" s="263">
        <f t="shared" si="6"/>
        <v>40</v>
      </c>
      <c r="L45" s="263">
        <f>K45+$E$26+$D45</f>
        <v>666.8080808080808</v>
      </c>
      <c r="M45" s="263">
        <f t="shared" si="13"/>
        <v>1293.6161616161617</v>
      </c>
      <c r="N45" s="263">
        <f t="shared" si="13"/>
        <v>1920.4242424242425</v>
      </c>
      <c r="O45" s="263">
        <f t="shared" si="13"/>
        <v>2547.2323232323233</v>
      </c>
    </row>
    <row r="46" spans="1:15" ht="12.75">
      <c r="A46" s="260">
        <v>6800</v>
      </c>
      <c r="B46" s="263">
        <v>33</v>
      </c>
      <c r="C46" s="264">
        <f t="shared" si="8"/>
        <v>54400</v>
      </c>
      <c r="D46" s="263">
        <f t="shared" si="9"/>
        <v>1648.4848484848485</v>
      </c>
      <c r="E46" s="263">
        <f>$C$10*5+C$11*8/B46*3+C$12*3+C$13*8/B46*3+C$14*2</f>
        <v>648.5454545454546</v>
      </c>
      <c r="F46" s="265">
        <f t="shared" si="10"/>
        <v>29.17411512334644</v>
      </c>
      <c r="G46" s="329">
        <f>F46/B46</f>
        <v>0.8840640946468618</v>
      </c>
      <c r="H46" s="265">
        <f t="shared" si="11"/>
        <v>9.72470504111548</v>
      </c>
      <c r="I46" s="263">
        <f t="shared" si="12"/>
        <v>5594.000000000001</v>
      </c>
      <c r="J46" s="263">
        <f>100*(1-3*D46/I46)</f>
        <v>11.593590535313814</v>
      </c>
      <c r="K46" s="263">
        <f t="shared" si="6"/>
        <v>40</v>
      </c>
      <c r="L46" s="263">
        <f>K46+$E$26+$D46</f>
        <v>1948.2626262626263</v>
      </c>
      <c r="M46" s="263">
        <f t="shared" si="13"/>
        <v>3856.5252525252527</v>
      </c>
      <c r="N46" s="263">
        <f t="shared" si="13"/>
        <v>5764.787878787878</v>
      </c>
      <c r="O46" s="263">
        <f t="shared" si="13"/>
        <v>7673.0505050505035</v>
      </c>
    </row>
    <row r="47" spans="1:13" ht="12.75">
      <c r="A47" s="260"/>
      <c r="B47" s="263"/>
      <c r="C47" s="264"/>
      <c r="D47" s="263"/>
      <c r="E47" s="263"/>
      <c r="F47" s="265"/>
      <c r="G47" s="329"/>
      <c r="H47" s="265"/>
      <c r="I47" s="263"/>
      <c r="J47" s="263"/>
      <c r="K47" s="263"/>
      <c r="L47" s="263"/>
      <c r="M47" s="263"/>
    </row>
    <row r="48" spans="1:15" ht="12.75">
      <c r="A48" s="260">
        <v>512</v>
      </c>
      <c r="B48" s="263">
        <v>44</v>
      </c>
      <c r="C48" s="264">
        <f t="shared" si="8"/>
        <v>4096</v>
      </c>
      <c r="D48" s="263">
        <f t="shared" si="9"/>
        <v>93.0909090909091</v>
      </c>
      <c r="E48" s="263">
        <f>$C$10*5+C$11*8/B48*3+C$12*3+C$13*8/B48*3+C$14*2</f>
        <v>638.9090909090909</v>
      </c>
      <c r="F48" s="265">
        <f t="shared" si="10"/>
        <v>13.382970297029704</v>
      </c>
      <c r="G48" s="329">
        <f>F48/B48</f>
        <v>0.3041584158415842</v>
      </c>
      <c r="H48" s="265">
        <f t="shared" si="11"/>
        <v>4.460990099009901</v>
      </c>
      <c r="I48" s="263">
        <f t="shared" si="12"/>
        <v>918.1818181818181</v>
      </c>
      <c r="J48" s="263">
        <f>100*(1-3*D48/I48)</f>
        <v>69.58415841584159</v>
      </c>
      <c r="K48" s="263">
        <f t="shared" si="6"/>
        <v>40</v>
      </c>
      <c r="L48" s="263">
        <f>K48+$E$31+$D48</f>
        <v>389.9242424242424</v>
      </c>
      <c r="M48" s="263">
        <f aca="true" t="shared" si="14" ref="M48:O50">L48+$E$31+$D48</f>
        <v>739.8484848484849</v>
      </c>
      <c r="N48" s="263">
        <f t="shared" si="14"/>
        <v>1089.7727272727273</v>
      </c>
      <c r="O48" s="263">
        <f t="shared" si="14"/>
        <v>1439.6969696969695</v>
      </c>
    </row>
    <row r="49" spans="1:15" ht="12.75">
      <c r="A49" s="260">
        <v>1514</v>
      </c>
      <c r="B49" s="263">
        <v>44</v>
      </c>
      <c r="C49" s="264">
        <f>A49*8</f>
        <v>12112</v>
      </c>
      <c r="D49" s="263">
        <f>C49/B49</f>
        <v>275.27272727272725</v>
      </c>
      <c r="E49" s="263">
        <f>$C$10*5+C$11*8/B49*3+C$12*3+C$13*8/B49*3+C$14*2</f>
        <v>638.9090909090909</v>
      </c>
      <c r="F49" s="265">
        <f t="shared" si="10"/>
        <v>24.807348560079447</v>
      </c>
      <c r="G49" s="329">
        <f>F49/B49</f>
        <v>0.563803376365442</v>
      </c>
      <c r="H49" s="265">
        <f t="shared" si="11"/>
        <v>8.269116186693148</v>
      </c>
      <c r="I49" s="263">
        <f>D49*3+E49</f>
        <v>1464.7272727272725</v>
      </c>
      <c r="J49" s="263">
        <f>100*(1-3*D49/I49)</f>
        <v>43.6196623634558</v>
      </c>
      <c r="K49" s="263">
        <f t="shared" si="6"/>
        <v>40</v>
      </c>
      <c r="L49" s="263">
        <f>K49+$E$31+$D49</f>
        <v>572.1060606060605</v>
      </c>
      <c r="M49" s="263">
        <f t="shared" si="14"/>
        <v>1104.212121212121</v>
      </c>
      <c r="N49" s="263">
        <f t="shared" si="14"/>
        <v>1636.3181818181815</v>
      </c>
      <c r="O49" s="263">
        <f t="shared" si="14"/>
        <v>2168.424242424242</v>
      </c>
    </row>
    <row r="50" spans="1:15" ht="12.75">
      <c r="A50" s="260">
        <v>8000</v>
      </c>
      <c r="B50" s="263">
        <v>44</v>
      </c>
      <c r="C50" s="264">
        <f t="shared" si="8"/>
        <v>64000</v>
      </c>
      <c r="D50" s="263">
        <f t="shared" si="9"/>
        <v>1454.5454545454545</v>
      </c>
      <c r="E50" s="263">
        <f>$C$10*5+C$11*8/B50*3+C$12*3+C$13*8/B50*3+C$14*2</f>
        <v>638.9090909090909</v>
      </c>
      <c r="F50" s="265">
        <f t="shared" si="10"/>
        <v>38.38046085629134</v>
      </c>
      <c r="G50" s="329">
        <f>F50/B50</f>
        <v>0.8722832012793487</v>
      </c>
      <c r="H50" s="265">
        <f t="shared" si="11"/>
        <v>12.793486952097114</v>
      </c>
      <c r="I50" s="263">
        <f t="shared" si="12"/>
        <v>5002.545454545455</v>
      </c>
      <c r="J50" s="263">
        <f>100*(1-3*D50/I50)</f>
        <v>12.771679872065134</v>
      </c>
      <c r="K50" s="263">
        <f t="shared" si="6"/>
        <v>40</v>
      </c>
      <c r="L50" s="263">
        <f>K50+$E$31+$D50</f>
        <v>1751.3787878787878</v>
      </c>
      <c r="M50" s="263">
        <f t="shared" si="14"/>
        <v>3462.7575757575755</v>
      </c>
      <c r="N50" s="263">
        <f t="shared" si="14"/>
        <v>5174.136363636364</v>
      </c>
      <c r="O50" s="263">
        <f t="shared" si="14"/>
        <v>6885.515151515152</v>
      </c>
    </row>
    <row r="51" ht="12.75">
      <c r="G51" s="266"/>
    </row>
    <row r="52" ht="12.75">
      <c r="G52" s="266"/>
    </row>
    <row r="53" ht="12.75">
      <c r="G53" s="266"/>
    </row>
    <row r="54" ht="12.75">
      <c r="G54" s="266"/>
    </row>
    <row r="55" ht="12.75">
      <c r="G55" s="266"/>
    </row>
  </sheetData>
  <mergeCells count="9">
    <mergeCell ref="A16:B16"/>
    <mergeCell ref="A11:B11"/>
    <mergeCell ref="A12:B12"/>
    <mergeCell ref="A13:B13"/>
    <mergeCell ref="A14:B14"/>
    <mergeCell ref="A4:G4"/>
    <mergeCell ref="A5:E5"/>
    <mergeCell ref="A6:G6"/>
    <mergeCell ref="A10:B10"/>
  </mergeCells>
  <printOptions/>
  <pageMargins left="0.75" right="0.75" top="1" bottom="1" header="0.5" footer="0.5"/>
  <pageSetup horizontalDpi="600" verticalDpi="600" orientation="portrait" r:id="rId1"/>
  <headerFooter alignWithMargins="0">
    <oddHeader>&amp;LNovember, 2000&amp;RIEEE P802.15.3 00/354r1</oddHeader>
    <oddFooter>&amp;LSubmission&amp;C&amp;P&amp;RCarlos Rios, Lincom</oddFooter>
  </headerFooter>
</worksheet>
</file>

<file path=xl/worksheets/sheet9.xml><?xml version="1.0" encoding="utf-8"?>
<worksheet xmlns="http://schemas.openxmlformats.org/spreadsheetml/2006/main" xmlns:r="http://schemas.openxmlformats.org/officeDocument/2006/relationships">
  <dimension ref="A1:O250"/>
  <sheetViews>
    <sheetView tabSelected="1" workbookViewId="0" topLeftCell="A152">
      <selection activeCell="G77" sqref="G77"/>
    </sheetView>
  </sheetViews>
  <sheetFormatPr defaultColWidth="9.140625" defaultRowHeight="12.75"/>
  <cols>
    <col min="1" max="1" width="24.421875" style="0" customWidth="1"/>
    <col min="5" max="5" width="8.8515625" style="0" customWidth="1"/>
    <col min="6" max="6" width="10.8515625" style="0" bestFit="1" customWidth="1"/>
    <col min="7" max="7" width="10.00390625" style="0" customWidth="1"/>
    <col min="9" max="9" width="11.140625" style="0" customWidth="1"/>
    <col min="11" max="11" width="10.8515625" style="0" bestFit="1" customWidth="1"/>
    <col min="12" max="12" width="10.8515625" style="0" customWidth="1"/>
  </cols>
  <sheetData>
    <row r="1" spans="1:10" ht="15.75">
      <c r="A1" s="310" t="s">
        <v>427</v>
      </c>
      <c r="B1" s="311"/>
      <c r="C1" s="312"/>
      <c r="E1" s="372" t="s">
        <v>424</v>
      </c>
      <c r="F1" s="372"/>
      <c r="G1" s="372"/>
      <c r="H1" s="373"/>
      <c r="I1" s="373"/>
      <c r="J1" s="373"/>
    </row>
    <row r="2" spans="1:3" ht="12.75">
      <c r="A2" s="23" t="s">
        <v>152</v>
      </c>
      <c r="B2" s="21">
        <v>5E-06</v>
      </c>
      <c r="C2" s="6" t="s">
        <v>104</v>
      </c>
    </row>
    <row r="3" spans="1:3" ht="12.75">
      <c r="A3" s="23" t="s">
        <v>82</v>
      </c>
      <c r="B3" s="21">
        <v>1E-05</v>
      </c>
      <c r="C3" s="6" t="s">
        <v>104</v>
      </c>
    </row>
    <row r="4" spans="1:8" ht="12.75">
      <c r="A4" s="7"/>
      <c r="B4" s="7"/>
      <c r="C4" s="7"/>
      <c r="F4" s="251"/>
      <c r="G4" s="35"/>
      <c r="H4" s="27"/>
    </row>
    <row r="5" spans="1:8" ht="12.75">
      <c r="A5" s="107" t="s">
        <v>352</v>
      </c>
      <c r="B5" s="21">
        <v>3E-05</v>
      </c>
      <c r="C5" s="7" t="s">
        <v>104</v>
      </c>
      <c r="F5" s="251"/>
      <c r="G5" s="35"/>
      <c r="H5" s="27"/>
    </row>
    <row r="6" spans="1:3" ht="12.75">
      <c r="A6" s="23" t="s">
        <v>338</v>
      </c>
      <c r="B6" s="21">
        <v>1E-06</v>
      </c>
      <c r="C6" s="6" t="s">
        <v>104</v>
      </c>
    </row>
    <row r="7" spans="1:3" ht="12.75">
      <c r="A7" s="23" t="s">
        <v>346</v>
      </c>
      <c r="B7" s="21">
        <v>5.8182E-06</v>
      </c>
      <c r="C7" s="6" t="s">
        <v>104</v>
      </c>
    </row>
    <row r="8" spans="1:3" ht="12.75">
      <c r="A8" s="23" t="s">
        <v>444</v>
      </c>
      <c r="B8" s="21">
        <v>2.5E-05</v>
      </c>
      <c r="C8" s="6" t="s">
        <v>104</v>
      </c>
    </row>
    <row r="9" spans="1:3" ht="12.75">
      <c r="A9" s="251"/>
      <c r="B9" s="292"/>
      <c r="C9" s="27"/>
    </row>
    <row r="10" spans="1:12" ht="13.5" thickBot="1">
      <c r="A10" s="293"/>
      <c r="B10" s="294"/>
      <c r="C10" s="295"/>
      <c r="D10" s="296"/>
      <c r="E10" s="296"/>
      <c r="F10" s="297" t="s">
        <v>113</v>
      </c>
      <c r="G10" s="296"/>
      <c r="H10" s="296"/>
      <c r="I10" s="296"/>
      <c r="J10" s="296"/>
      <c r="K10" s="296"/>
      <c r="L10" s="298"/>
    </row>
    <row r="11" spans="1:15" ht="13.5" thickTop="1">
      <c r="A11" s="130" t="s">
        <v>341</v>
      </c>
      <c r="B11" s="364">
        <v>66</v>
      </c>
      <c r="C11" s="204" t="s">
        <v>107</v>
      </c>
      <c r="D11" s="28"/>
      <c r="E11" s="28" t="s">
        <v>339</v>
      </c>
      <c r="F11" s="28"/>
      <c r="G11" s="28">
        <v>24</v>
      </c>
      <c r="H11" s="28" t="s">
        <v>107</v>
      </c>
      <c r="I11" s="28"/>
      <c r="J11" s="121" t="s">
        <v>340</v>
      </c>
      <c r="K11" s="28">
        <v>48</v>
      </c>
      <c r="L11" s="46" t="s">
        <v>107</v>
      </c>
      <c r="O11" s="291"/>
    </row>
    <row r="12" spans="1:12" ht="12.75">
      <c r="A12" s="143" t="s">
        <v>406</v>
      </c>
      <c r="B12" s="204">
        <v>16</v>
      </c>
      <c r="C12" s="204" t="s">
        <v>107</v>
      </c>
      <c r="D12" s="28"/>
      <c r="E12" s="28"/>
      <c r="F12" s="121" t="s">
        <v>343</v>
      </c>
      <c r="G12" s="28">
        <v>72</v>
      </c>
      <c r="H12" s="28" t="s">
        <v>107</v>
      </c>
      <c r="I12" s="28"/>
      <c r="J12" s="121" t="s">
        <v>342</v>
      </c>
      <c r="K12" s="28">
        <v>64</v>
      </c>
      <c r="L12" s="46" t="s">
        <v>107</v>
      </c>
    </row>
    <row r="13" spans="1:12" ht="12.75">
      <c r="A13" s="143" t="s">
        <v>407</v>
      </c>
      <c r="B13" s="204">
        <v>78</v>
      </c>
      <c r="C13" s="204" t="s">
        <v>107</v>
      </c>
      <c r="D13" s="28"/>
      <c r="E13" s="28"/>
      <c r="F13" s="121" t="s">
        <v>345</v>
      </c>
      <c r="G13" s="28">
        <v>104</v>
      </c>
      <c r="H13" s="28" t="s">
        <v>107</v>
      </c>
      <c r="I13" s="28"/>
      <c r="J13" s="121" t="s">
        <v>344</v>
      </c>
      <c r="K13" s="28">
        <v>144</v>
      </c>
      <c r="L13" s="46" t="s">
        <v>107</v>
      </c>
    </row>
    <row r="14" spans="1:12" ht="12.75">
      <c r="A14" s="45" t="s">
        <v>414</v>
      </c>
      <c r="B14" s="204">
        <v>16</v>
      </c>
      <c r="C14" s="204" t="s">
        <v>107</v>
      </c>
      <c r="D14" s="28"/>
      <c r="E14" s="28"/>
      <c r="F14" s="121" t="s">
        <v>413</v>
      </c>
      <c r="G14" s="28">
        <v>32</v>
      </c>
      <c r="H14" s="28" t="s">
        <v>107</v>
      </c>
      <c r="I14" s="28"/>
      <c r="J14" s="121" t="s">
        <v>412</v>
      </c>
      <c r="K14" s="28">
        <v>32</v>
      </c>
      <c r="L14" s="46" t="s">
        <v>107</v>
      </c>
    </row>
    <row r="15" spans="1:12" ht="12.75">
      <c r="A15" s="45"/>
      <c r="B15" s="204"/>
      <c r="C15" s="204"/>
      <c r="D15" s="28"/>
      <c r="E15" s="356"/>
      <c r="F15" s="357" t="s">
        <v>349</v>
      </c>
      <c r="G15" s="358">
        <v>48</v>
      </c>
      <c r="H15" s="358" t="s">
        <v>107</v>
      </c>
      <c r="I15" s="358"/>
      <c r="J15" s="358"/>
      <c r="K15" s="358"/>
      <c r="L15" s="359"/>
    </row>
    <row r="16" spans="1:12" ht="12.75">
      <c r="A16" s="130" t="s">
        <v>335</v>
      </c>
      <c r="B16" s="204">
        <v>1</v>
      </c>
      <c r="C16" s="204"/>
      <c r="D16" s="28"/>
      <c r="E16" s="45"/>
      <c r="F16" s="121" t="s">
        <v>350</v>
      </c>
      <c r="G16" s="28">
        <f>34*8</f>
        <v>272</v>
      </c>
      <c r="H16" s="28" t="s">
        <v>107</v>
      </c>
      <c r="I16" s="28"/>
      <c r="J16" s="121" t="s">
        <v>446</v>
      </c>
      <c r="K16" s="28">
        <f>30*8</f>
        <v>240</v>
      </c>
      <c r="L16" s="46" t="s">
        <v>107</v>
      </c>
    </row>
    <row r="17" spans="1:12" ht="12.75">
      <c r="A17" s="45"/>
      <c r="B17" s="27"/>
      <c r="C17" s="27"/>
      <c r="D17" s="28"/>
      <c r="E17" s="45"/>
      <c r="F17" s="121" t="s">
        <v>351</v>
      </c>
      <c r="G17" s="28">
        <f>19*8</f>
        <v>152</v>
      </c>
      <c r="H17" s="28" t="s">
        <v>107</v>
      </c>
      <c r="I17" s="28"/>
      <c r="J17" s="28"/>
      <c r="K17" s="28"/>
      <c r="L17" s="46"/>
    </row>
    <row r="18" spans="1:12" ht="12.75">
      <c r="A18" s="236"/>
      <c r="B18" s="48"/>
      <c r="C18" s="48"/>
      <c r="D18" s="48"/>
      <c r="E18" s="236"/>
      <c r="F18" s="133" t="s">
        <v>404</v>
      </c>
      <c r="G18" s="48">
        <f>25*8</f>
        <v>200</v>
      </c>
      <c r="H18" s="48" t="s">
        <v>107</v>
      </c>
      <c r="I18" s="48"/>
      <c r="J18" s="133" t="s">
        <v>405</v>
      </c>
      <c r="K18" s="48">
        <f>27*8</f>
        <v>216</v>
      </c>
      <c r="L18" s="49" t="s">
        <v>107</v>
      </c>
    </row>
    <row r="20" spans="1:14" ht="51.75" thickBot="1">
      <c r="A20" s="334" t="s">
        <v>334</v>
      </c>
      <c r="B20" s="335" t="s">
        <v>332</v>
      </c>
      <c r="C20" s="335" t="s">
        <v>415</v>
      </c>
      <c r="D20" s="335" t="s">
        <v>354</v>
      </c>
      <c r="E20" s="335" t="s">
        <v>416</v>
      </c>
      <c r="F20" s="335" t="s">
        <v>347</v>
      </c>
      <c r="G20" s="335" t="s">
        <v>348</v>
      </c>
      <c r="H20" s="335" t="s">
        <v>103</v>
      </c>
      <c r="I20" s="335" t="s">
        <v>355</v>
      </c>
      <c r="J20" s="335"/>
      <c r="K20" s="335" t="s">
        <v>331</v>
      </c>
      <c r="L20" s="335" t="s">
        <v>336</v>
      </c>
      <c r="M20" s="335" t="s">
        <v>333</v>
      </c>
      <c r="N20" s="336" t="s">
        <v>326</v>
      </c>
    </row>
    <row r="21" spans="1:14" ht="13.5" thickTop="1">
      <c r="A21" s="45" t="s">
        <v>426</v>
      </c>
      <c r="B21" s="28" t="s">
        <v>330</v>
      </c>
      <c r="C21" s="304">
        <v>512</v>
      </c>
      <c r="D21" s="122">
        <v>22000000</v>
      </c>
      <c r="E21" s="304">
        <f>C21*8</f>
        <v>4096</v>
      </c>
      <c r="F21" s="315">
        <f>3*E21/D21</f>
        <v>0.0005585454545454546</v>
      </c>
      <c r="G21" s="316">
        <f>($B$7+$B$2+$B$3+(2*$B$8)+((2*$G$11)+$G$12+(3*$G$14)+$G$13)/$D21)</f>
        <v>8.536365454545456E-05</v>
      </c>
      <c r="H21" s="325">
        <f>F21/(F21+G21)</f>
        <v>0.8674290309916975</v>
      </c>
      <c r="I21" s="306">
        <f>D21*H21</f>
        <v>19083438.681817345</v>
      </c>
      <c r="J21" s="28"/>
      <c r="K21" s="129"/>
      <c r="L21" s="43"/>
      <c r="M21" s="131">
        <f>K21/(K21+G21)</f>
        <v>0</v>
      </c>
      <c r="N21" s="299">
        <f>D21*M21</f>
        <v>0</v>
      </c>
    </row>
    <row r="22" spans="1:14" ht="12.75">
      <c r="A22" s="45"/>
      <c r="B22" s="28" t="s">
        <v>327</v>
      </c>
      <c r="C22" s="304">
        <v>512</v>
      </c>
      <c r="D22" s="122">
        <v>22000000</v>
      </c>
      <c r="E22" s="304">
        <f>C22*8</f>
        <v>4096</v>
      </c>
      <c r="F22" s="315">
        <f>3*E22/D22</f>
        <v>0.0005585454545454546</v>
      </c>
      <c r="G22" s="316">
        <f>($B$7+$B$2+$B$3+(2*$B$8)+((2*$B$11)+$B$12+(3*$B$14)+$B$13)/$D22)</f>
        <v>8.327274545454546E-05</v>
      </c>
      <c r="H22" s="325">
        <f>F22/(F22+G22)</f>
        <v>0.8702549328539679</v>
      </c>
      <c r="I22" s="306">
        <f>D22*H22</f>
        <v>19145608.522787295</v>
      </c>
      <c r="J22" s="28"/>
      <c r="K22" s="129"/>
      <c r="L22" s="43"/>
      <c r="M22" s="131">
        <f>K22/(K22+G22)</f>
        <v>0</v>
      </c>
      <c r="N22" s="299">
        <f>D22*M22</f>
        <v>0</v>
      </c>
    </row>
    <row r="23" spans="1:14" ht="12.75">
      <c r="A23" s="45"/>
      <c r="B23" s="28" t="s">
        <v>328</v>
      </c>
      <c r="C23" s="304">
        <v>512</v>
      </c>
      <c r="D23" s="122">
        <v>22000000</v>
      </c>
      <c r="E23" s="304">
        <f>C23*8</f>
        <v>4096</v>
      </c>
      <c r="F23" s="315">
        <f>3*E23/D23</f>
        <v>0.0005585454545454546</v>
      </c>
      <c r="G23" s="316">
        <f>($B$7+$B$2+$B$3+(2*$B$8)+((2*$K$11)+$K$12+(3*$K$14)+$K$13)/$D23)</f>
        <v>8.900001818181819E-05</v>
      </c>
      <c r="H23" s="325">
        <f>F23/(F23+G23)</f>
        <v>0.8625578867736099</v>
      </c>
      <c r="I23" s="306">
        <f>D23*H23</f>
        <v>18976273.509019416</v>
      </c>
      <c r="J23" s="28"/>
      <c r="K23" s="129"/>
      <c r="L23" s="43"/>
      <c r="M23" s="131">
        <f>K23/(K23+G23)</f>
        <v>0</v>
      </c>
      <c r="N23" s="299">
        <f>D23*M23</f>
        <v>0</v>
      </c>
    </row>
    <row r="24" spans="1:14" ht="12.75">
      <c r="A24" s="45"/>
      <c r="B24" s="28" t="s">
        <v>329</v>
      </c>
      <c r="C24" s="304">
        <v>512</v>
      </c>
      <c r="D24" s="122">
        <v>22000000</v>
      </c>
      <c r="E24" s="304">
        <f>C24*8</f>
        <v>4096</v>
      </c>
      <c r="F24" s="315">
        <f>3*E24/D24</f>
        <v>0.0005585454545454546</v>
      </c>
      <c r="G24" s="316">
        <f>(3*$B$3+2*$B$5+(5*$B$8)+((5*$G$15)+(3*$G$16)+(3*$G$17))/$D24)</f>
        <v>0.00028372727272727273</v>
      </c>
      <c r="H24" s="325">
        <f>F24/(F24+G24)</f>
        <v>0.6631408526713438</v>
      </c>
      <c r="I24" s="306">
        <f>D24*H24</f>
        <v>14589098.758769564</v>
      </c>
      <c r="J24" s="28"/>
      <c r="K24" s="129"/>
      <c r="L24" s="300"/>
      <c r="M24" s="131">
        <f>K24/(K24+G24)</f>
        <v>0</v>
      </c>
      <c r="N24" s="299">
        <f>D24*M24</f>
        <v>0</v>
      </c>
    </row>
    <row r="25" spans="1:14" ht="12.75">
      <c r="A25" s="45"/>
      <c r="B25" s="28"/>
      <c r="C25" s="304"/>
      <c r="D25" s="28"/>
      <c r="E25" s="304"/>
      <c r="F25" s="315"/>
      <c r="G25" s="316"/>
      <c r="H25" s="328"/>
      <c r="I25" s="304"/>
      <c r="J25" s="28"/>
      <c r="K25" s="28"/>
      <c r="L25" s="28"/>
      <c r="M25" s="28"/>
      <c r="N25" s="46"/>
    </row>
    <row r="26" spans="1:14" ht="12.75">
      <c r="A26" s="45"/>
      <c r="B26" s="28" t="s">
        <v>330</v>
      </c>
      <c r="C26" s="304">
        <v>1514</v>
      </c>
      <c r="D26" s="122">
        <v>22000000</v>
      </c>
      <c r="E26" s="304">
        <f>C26*8</f>
        <v>12112</v>
      </c>
      <c r="F26" s="315">
        <f>3*E26/D26</f>
        <v>0.0016516363636363636</v>
      </c>
      <c r="G26" s="316">
        <f>($B$7+$B$2+$B$3+(2*$B$8)+((2*$G$11)+$G$12+(3*$G$14)+$G$13)/$D26)</f>
        <v>8.536365454545456E-05</v>
      </c>
      <c r="H26" s="325">
        <f>F26/(F26+G26)</f>
        <v>0.9508556973794349</v>
      </c>
      <c r="I26" s="306">
        <f>D26*H26</f>
        <v>20918825.342347566</v>
      </c>
      <c r="J26" s="28"/>
      <c r="K26" s="129"/>
      <c r="L26" s="43"/>
      <c r="M26" s="131">
        <f>K26/(K26+G26)</f>
        <v>0</v>
      </c>
      <c r="N26" s="299">
        <f>D26*M26</f>
        <v>0</v>
      </c>
    </row>
    <row r="27" spans="1:14" ht="12.75">
      <c r="A27" s="45"/>
      <c r="B27" s="28" t="s">
        <v>327</v>
      </c>
      <c r="C27" s="304">
        <v>1514</v>
      </c>
      <c r="D27" s="122">
        <v>22000000</v>
      </c>
      <c r="E27" s="304">
        <f>C27*8</f>
        <v>12112</v>
      </c>
      <c r="F27" s="315">
        <f>3*E27/D27</f>
        <v>0.0016516363636363636</v>
      </c>
      <c r="G27" s="316">
        <f>($B$7+$B$2+$B$3+(2*$B$8)+((2*$B$11)+$B$12+(2*$B$14)+$B$13)/$D27)</f>
        <v>8.254547272727274E-05</v>
      </c>
      <c r="H27" s="325">
        <f>F27/(F27+G27)</f>
        <v>0.9524009126399569</v>
      </c>
      <c r="I27" s="306">
        <f>D27*H27</f>
        <v>20952820.078079052</v>
      </c>
      <c r="J27" s="28"/>
      <c r="K27" s="129"/>
      <c r="L27" s="43"/>
      <c r="M27" s="131">
        <f>K27/(K27+G27)</f>
        <v>0</v>
      </c>
      <c r="N27" s="299">
        <f>D27*M27</f>
        <v>0</v>
      </c>
    </row>
    <row r="28" spans="1:14" ht="12.75">
      <c r="A28" s="45"/>
      <c r="B28" s="28" t="s">
        <v>328</v>
      </c>
      <c r="C28" s="304">
        <v>1514</v>
      </c>
      <c r="D28" s="122">
        <v>22000000</v>
      </c>
      <c r="E28" s="304">
        <f>C28*8</f>
        <v>12112</v>
      </c>
      <c r="F28" s="315">
        <f>3*E28/D28</f>
        <v>0.0016516363636363636</v>
      </c>
      <c r="G28" s="316">
        <f>($B$7+$B$2+$B$3+(2*$B$8)+((2*$K$11)+$K$12+(3*$K$14)+$K$13)/$D28)</f>
        <v>8.900001818181819E-05</v>
      </c>
      <c r="H28" s="325">
        <f>F28/(F28+G28)</f>
        <v>0.9488692646485688</v>
      </c>
      <c r="I28" s="306">
        <f>D28*H28</f>
        <v>20875123.822268512</v>
      </c>
      <c r="J28" s="28"/>
      <c r="K28" s="129"/>
      <c r="L28" s="43"/>
      <c r="M28" s="131">
        <f>K28/(K28+G28)</f>
        <v>0</v>
      </c>
      <c r="N28" s="299">
        <f>D28*M28</f>
        <v>0</v>
      </c>
    </row>
    <row r="29" spans="1:14" ht="12.75">
      <c r="A29" s="45"/>
      <c r="B29" s="28" t="s">
        <v>329</v>
      </c>
      <c r="C29" s="304">
        <v>1514</v>
      </c>
      <c r="D29" s="122">
        <v>22000000</v>
      </c>
      <c r="E29" s="304">
        <f>C29*8</f>
        <v>12112</v>
      </c>
      <c r="F29" s="315">
        <f>3*E29/D29</f>
        <v>0.0016516363636363636</v>
      </c>
      <c r="G29" s="316">
        <f>(3*$B$3+2*$B$5+(5*$B$8)+((5*$G$15)+(3*$G$16)+(3*$G$17))/$D29)</f>
        <v>0.00028372727272727273</v>
      </c>
      <c r="H29" s="325">
        <f>F29/(F29+G29)</f>
        <v>0.8533984686927522</v>
      </c>
      <c r="I29" s="306">
        <f>D29*H29</f>
        <v>18774766.311240546</v>
      </c>
      <c r="J29" s="28"/>
      <c r="K29" s="129"/>
      <c r="L29" s="300"/>
      <c r="M29" s="131">
        <f>K29/(K29+G29)</f>
        <v>0</v>
      </c>
      <c r="N29" s="299">
        <f>D29*M29</f>
        <v>0</v>
      </c>
    </row>
    <row r="30" spans="1:14" ht="12.75">
      <c r="A30" s="45"/>
      <c r="B30" s="28"/>
      <c r="C30" s="304"/>
      <c r="D30" s="122"/>
      <c r="E30" s="304"/>
      <c r="F30" s="315"/>
      <c r="G30" s="316"/>
      <c r="H30" s="327"/>
      <c r="I30" s="309"/>
      <c r="J30" s="28"/>
      <c r="K30" s="129"/>
      <c r="L30" s="300"/>
      <c r="M30" s="131"/>
      <c r="N30" s="299"/>
    </row>
    <row r="31" spans="1:14" ht="12.75">
      <c r="A31" s="45"/>
      <c r="B31" s="28" t="s">
        <v>330</v>
      </c>
      <c r="C31" s="304">
        <v>512</v>
      </c>
      <c r="D31" s="122">
        <v>33000000</v>
      </c>
      <c r="E31" s="304">
        <f>C31*8</f>
        <v>4096</v>
      </c>
      <c r="F31" s="315">
        <f>3*E31/D31</f>
        <v>0.0003723636363636364</v>
      </c>
      <c r="G31" s="316">
        <f>($B$7+$B$2+$B$3+(2*$B$8)+((2*$G$11)+$G$12+(3*$G$14)+$G$13)/$D31)</f>
        <v>8.051516969696972E-05</v>
      </c>
      <c r="H31" s="325">
        <f>F31/(F31+G31)</f>
        <v>0.8222147545447405</v>
      </c>
      <c r="I31" s="306">
        <f>D31*H31</f>
        <v>27133086.899976436</v>
      </c>
      <c r="J31" s="28"/>
      <c r="K31" s="129"/>
      <c r="L31" s="43"/>
      <c r="M31" s="131">
        <f>K31/(K31+G31)</f>
        <v>0</v>
      </c>
      <c r="N31" s="299">
        <f>D31*M31</f>
        <v>0</v>
      </c>
    </row>
    <row r="32" spans="1:14" ht="12.75">
      <c r="A32" s="45"/>
      <c r="B32" s="28" t="s">
        <v>327</v>
      </c>
      <c r="C32" s="304">
        <v>512</v>
      </c>
      <c r="D32" s="122">
        <v>33000000</v>
      </c>
      <c r="E32" s="304">
        <f>C32*8</f>
        <v>4096</v>
      </c>
      <c r="F32" s="315">
        <f>3*E32/D32</f>
        <v>0.0003723636363636364</v>
      </c>
      <c r="G32" s="316">
        <f>($B$7+$B$2+$B$3+(2*$B$8)+((2*$B$11)+$B$12+(3*$B$14)+$B$13)/$D32)</f>
        <v>7.912123030303031E-05</v>
      </c>
      <c r="H32" s="325">
        <f>F32/(F32+G32)</f>
        <v>0.8247533059365069</v>
      </c>
      <c r="I32" s="306">
        <f>D32*H32</f>
        <v>27216859.095904727</v>
      </c>
      <c r="J32" s="28"/>
      <c r="K32" s="129"/>
      <c r="L32" s="43"/>
      <c r="M32" s="131">
        <f>K32/(K32+G32)</f>
        <v>0</v>
      </c>
      <c r="N32" s="299">
        <f>D32*M32</f>
        <v>0</v>
      </c>
    </row>
    <row r="33" spans="1:14" ht="12.75">
      <c r="A33" s="45"/>
      <c r="B33" s="28" t="s">
        <v>328</v>
      </c>
      <c r="C33" s="304">
        <v>512</v>
      </c>
      <c r="D33" s="122">
        <v>33000000</v>
      </c>
      <c r="E33" s="304">
        <f>C33*8</f>
        <v>4096</v>
      </c>
      <c r="F33" s="315">
        <f>3*E33/D33</f>
        <v>0.0003723636363636364</v>
      </c>
      <c r="G33" s="316">
        <f>($B$7+$B$2+$B$3+(2*$B$8)+((2*$K$11)+$K$12+(3*$K$14)+$K$13)/$D33)</f>
        <v>8.293941212121213E-05</v>
      </c>
      <c r="H33" s="325">
        <f>F33/(F33+G33)</f>
        <v>0.8178369057768956</v>
      </c>
      <c r="I33" s="306">
        <f>D33*H33</f>
        <v>26988617.890637554</v>
      </c>
      <c r="J33" s="28"/>
      <c r="K33" s="129"/>
      <c r="L33" s="43"/>
      <c r="M33" s="131">
        <f>K33/(K33+G33)</f>
        <v>0</v>
      </c>
      <c r="N33" s="299">
        <f>D33*M33</f>
        <v>0</v>
      </c>
    </row>
    <row r="34" spans="1:14" ht="12.75">
      <c r="A34" s="45"/>
      <c r="B34" s="28" t="s">
        <v>329</v>
      </c>
      <c r="C34" s="304">
        <v>512</v>
      </c>
      <c r="D34" s="122">
        <v>33000000</v>
      </c>
      <c r="E34" s="304">
        <f>C34*8</f>
        <v>4096</v>
      </c>
      <c r="F34" s="315">
        <f>3*E34/D34</f>
        <v>0.0003723636363636364</v>
      </c>
      <c r="G34" s="316">
        <f>(3*$B$3+2*$B$5+(5*$B$8)+((5*$G$15)+(3*$G$16)+(3*$G$17))/$D34)</f>
        <v>0.00026081818181818183</v>
      </c>
      <c r="H34" s="325">
        <f>F34/(F34+G34)</f>
        <v>0.5880832735104092</v>
      </c>
      <c r="I34" s="306">
        <f>D34*H34</f>
        <v>19406748.025843505</v>
      </c>
      <c r="J34" s="28"/>
      <c r="K34" s="129"/>
      <c r="L34" s="300"/>
      <c r="M34" s="131">
        <f>K34/(K34+G34)</f>
        <v>0</v>
      </c>
      <c r="N34" s="299">
        <f>D34*M34</f>
        <v>0</v>
      </c>
    </row>
    <row r="35" spans="1:14" ht="12.75">
      <c r="A35" s="45"/>
      <c r="B35" s="28"/>
      <c r="C35" s="304"/>
      <c r="D35" s="28"/>
      <c r="E35" s="304"/>
      <c r="F35" s="315"/>
      <c r="G35" s="316"/>
      <c r="H35" s="328"/>
      <c r="I35" s="304"/>
      <c r="J35" s="28"/>
      <c r="K35" s="28"/>
      <c r="L35" s="28"/>
      <c r="M35" s="28"/>
      <c r="N35" s="46"/>
    </row>
    <row r="36" spans="1:14" ht="12.75">
      <c r="A36" s="45"/>
      <c r="B36" s="28" t="s">
        <v>330</v>
      </c>
      <c r="C36" s="304">
        <v>1514</v>
      </c>
      <c r="D36" s="122">
        <v>33000000</v>
      </c>
      <c r="E36" s="304">
        <f>C36*8</f>
        <v>12112</v>
      </c>
      <c r="F36" s="315">
        <f>3*E36/D36</f>
        <v>0.001101090909090909</v>
      </c>
      <c r="G36" s="316">
        <f>($B$7+$B$2+$B$3+(2*$B$8)+((2*$G$11)+$G$12+(3*$G$14)+$G$13)/$D36)</f>
        <v>8.051516969696972E-05</v>
      </c>
      <c r="H36" s="325">
        <f>F36/(F36+G36)</f>
        <v>0.9318595501983501</v>
      </c>
      <c r="I36" s="306">
        <f>D36*H36</f>
        <v>30751365.156545553</v>
      </c>
      <c r="J36" s="28"/>
      <c r="K36" s="129"/>
      <c r="L36" s="43"/>
      <c r="M36" s="131">
        <f>K36/(K36+G36)</f>
        <v>0</v>
      </c>
      <c r="N36" s="299">
        <f>D36*M36</f>
        <v>0</v>
      </c>
    </row>
    <row r="37" spans="1:14" ht="12.75">
      <c r="A37" s="45"/>
      <c r="B37" s="28" t="s">
        <v>327</v>
      </c>
      <c r="C37" s="304">
        <v>1514</v>
      </c>
      <c r="D37" s="122">
        <v>33000000</v>
      </c>
      <c r="E37" s="304">
        <f>C37*8</f>
        <v>12112</v>
      </c>
      <c r="F37" s="315">
        <f>3*E37/D37</f>
        <v>0.001101090909090909</v>
      </c>
      <c r="G37" s="316">
        <f>($B$7+$B$2+$B$3+(2*$B$8)+((2*$B$11)+$B$12+(2*$B$14)+$B$13)/$D37)</f>
        <v>7.863638181818183E-05</v>
      </c>
      <c r="H37" s="325">
        <f>F37/(F37+G37)</f>
        <v>0.9333435935371257</v>
      </c>
      <c r="I37" s="306">
        <f>D37*H37</f>
        <v>30800338.58672515</v>
      </c>
      <c r="J37" s="28"/>
      <c r="K37" s="129"/>
      <c r="L37" s="43"/>
      <c r="M37" s="131">
        <f>K37/(K37+G37)</f>
        <v>0</v>
      </c>
      <c r="N37" s="299">
        <f>D37*M37</f>
        <v>0</v>
      </c>
    </row>
    <row r="38" spans="1:14" ht="12.75">
      <c r="A38" s="45"/>
      <c r="B38" s="28" t="s">
        <v>328</v>
      </c>
      <c r="C38" s="304">
        <v>1514</v>
      </c>
      <c r="D38" s="122">
        <v>33000000</v>
      </c>
      <c r="E38" s="304">
        <f>C38*8</f>
        <v>12112</v>
      </c>
      <c r="F38" s="315">
        <f>3*E38/D38</f>
        <v>0.001101090909090909</v>
      </c>
      <c r="G38" s="316">
        <f>($B$7+$B$2+$B$3+(2*$B$8)+((2*$K$11)+$K$12+(3*$K$14)+$K$13)/$D38)</f>
        <v>8.293941212121213E-05</v>
      </c>
      <c r="H38" s="325">
        <f>F38/(F38+G38)</f>
        <v>0.9299516147219059</v>
      </c>
      <c r="I38" s="306">
        <f>D38*H38</f>
        <v>30688403.285822894</v>
      </c>
      <c r="J38" s="28"/>
      <c r="K38" s="129"/>
      <c r="L38" s="43"/>
      <c r="M38" s="131">
        <f>K38/(K38+G38)</f>
        <v>0</v>
      </c>
      <c r="N38" s="299">
        <f>D38*M38</f>
        <v>0</v>
      </c>
    </row>
    <row r="39" spans="1:14" ht="12.75">
      <c r="A39" s="45"/>
      <c r="B39" s="28" t="s">
        <v>329</v>
      </c>
      <c r="C39" s="304">
        <v>1514</v>
      </c>
      <c r="D39" s="122">
        <v>33000000</v>
      </c>
      <c r="E39" s="304">
        <f>C39*8</f>
        <v>12112</v>
      </c>
      <c r="F39" s="315">
        <f>3*E39/D39</f>
        <v>0.001101090909090909</v>
      </c>
      <c r="G39" s="316">
        <f>(3*$B$3+2*$B$5+(5*$B$8)+((5*$G$15)+(3*$G$16)+(3*$G$17))/$D39)</f>
        <v>0.00026081818181818183</v>
      </c>
      <c r="H39" s="325">
        <f>F39/(F39+G39)</f>
        <v>0.808490754956278</v>
      </c>
      <c r="I39" s="306">
        <f>D39*H39</f>
        <v>26680194.91355717</v>
      </c>
      <c r="J39" s="28"/>
      <c r="K39" s="129"/>
      <c r="L39" s="300"/>
      <c r="M39" s="131">
        <f>K39/(K39+G39)</f>
        <v>0</v>
      </c>
      <c r="N39" s="299">
        <f>D39*M39</f>
        <v>0</v>
      </c>
    </row>
    <row r="40" spans="1:14" ht="12.75">
      <c r="A40" s="45"/>
      <c r="B40" s="28"/>
      <c r="C40" s="304"/>
      <c r="D40" s="122"/>
      <c r="E40" s="304"/>
      <c r="F40" s="315"/>
      <c r="G40" s="316"/>
      <c r="H40" s="327"/>
      <c r="I40" s="309"/>
      <c r="J40" s="28"/>
      <c r="K40" s="129"/>
      <c r="L40" s="300"/>
      <c r="M40" s="131"/>
      <c r="N40" s="299"/>
    </row>
    <row r="41" spans="1:14" ht="12.75">
      <c r="A41" s="45"/>
      <c r="B41" s="28" t="s">
        <v>330</v>
      </c>
      <c r="C41" s="304">
        <v>512</v>
      </c>
      <c r="D41" s="122">
        <v>44000000</v>
      </c>
      <c r="E41" s="304">
        <f>C41*8</f>
        <v>4096</v>
      </c>
      <c r="F41" s="315">
        <f>3*E41/D41</f>
        <v>0.0002792727272727273</v>
      </c>
      <c r="G41" s="316">
        <f>($B$7+$B$2+$B$3+(2*$B$8)+((2*$G$11)+$G$12+(3*$G$14)+$G$13)/$D41)</f>
        <v>7.809092727272729E-05</v>
      </c>
      <c r="H41" s="325">
        <f>F41/(F41+G41)</f>
        <v>0.7814804995430933</v>
      </c>
      <c r="I41" s="306">
        <f>D41*H41</f>
        <v>34385141.979896106</v>
      </c>
      <c r="J41" s="28"/>
      <c r="K41" s="129"/>
      <c r="L41" s="43"/>
      <c r="M41" s="131">
        <f>K41/(K41+G41)</f>
        <v>0</v>
      </c>
      <c r="N41" s="299">
        <f>D41*M41</f>
        <v>0</v>
      </c>
    </row>
    <row r="42" spans="1:14" ht="12.75">
      <c r="A42" s="45"/>
      <c r="B42" s="28" t="s">
        <v>327</v>
      </c>
      <c r="C42" s="304">
        <v>512</v>
      </c>
      <c r="D42" s="122">
        <v>44000000</v>
      </c>
      <c r="E42" s="304">
        <f>C42*8</f>
        <v>4096</v>
      </c>
      <c r="F42" s="315">
        <f>3*E42/D42</f>
        <v>0.0002792727272727273</v>
      </c>
      <c r="G42" s="316">
        <f>($B$7+$B$2+$B$3+(2*$B$8)+((2*$B$11)+$B$12+(3*$B$14)+$B$13)/$D42)</f>
        <v>7.704547272727274E-05</v>
      </c>
      <c r="H42" s="325">
        <f>F42/(F42+G42)</f>
        <v>0.7837734004963184</v>
      </c>
      <c r="I42" s="306">
        <f>D42*H42</f>
        <v>34486029.62183801</v>
      </c>
      <c r="J42" s="28"/>
      <c r="K42" s="129"/>
      <c r="L42" s="43"/>
      <c r="M42" s="131">
        <f>K42/(K42+G42)</f>
        <v>0</v>
      </c>
      <c r="N42" s="299">
        <f>D42*M42</f>
        <v>0</v>
      </c>
    </row>
    <row r="43" spans="1:14" ht="12.75">
      <c r="A43" s="45"/>
      <c r="B43" s="28" t="s">
        <v>328</v>
      </c>
      <c r="C43" s="304">
        <v>512</v>
      </c>
      <c r="D43" s="122">
        <v>44000000</v>
      </c>
      <c r="E43" s="304">
        <f>C43*8</f>
        <v>4096</v>
      </c>
      <c r="F43" s="315">
        <f>3*E43/D43</f>
        <v>0.0002792727272727273</v>
      </c>
      <c r="G43" s="316">
        <f>($B$7+$B$2+$B$3+(2*$B$8)+((2*$K$11)+$K$12+(3*$K$14)+$K$13)/$D43)</f>
        <v>7.99091090909091E-05</v>
      </c>
      <c r="H43" s="325">
        <f>F43/(F43+G43)</f>
        <v>0.7775246379385149</v>
      </c>
      <c r="I43" s="306">
        <f>D43*H43</f>
        <v>34211084.069294654</v>
      </c>
      <c r="J43" s="28"/>
      <c r="K43" s="129"/>
      <c r="L43" s="43"/>
      <c r="M43" s="131">
        <f>K43/(K43+G43)</f>
        <v>0</v>
      </c>
      <c r="N43" s="299">
        <f>D43*M43</f>
        <v>0</v>
      </c>
    </row>
    <row r="44" spans="1:14" ht="12.75">
      <c r="A44" s="45"/>
      <c r="B44" s="28" t="s">
        <v>329</v>
      </c>
      <c r="C44" s="304">
        <v>512</v>
      </c>
      <c r="D44" s="122">
        <v>44000000</v>
      </c>
      <c r="E44" s="304">
        <f>C44*8</f>
        <v>4096</v>
      </c>
      <c r="F44" s="315">
        <f>3*E44/D44</f>
        <v>0.0002792727272727273</v>
      </c>
      <c r="G44" s="316">
        <f>(3*$B$3+2*$B$5+(5*$B$8)+((5*$G$15)+(3*$G$16)+(3*$G$17))/$D44)</f>
        <v>0.0002493636363636364</v>
      </c>
      <c r="H44" s="325">
        <f>F44/(F44+G44)</f>
        <v>0.5282889079965606</v>
      </c>
      <c r="I44" s="306">
        <f>D44*H44</f>
        <v>23244711.951848667</v>
      </c>
      <c r="J44" s="28"/>
      <c r="K44" s="129"/>
      <c r="L44" s="300"/>
      <c r="M44" s="131">
        <f>K44/(K44+G44)</f>
        <v>0</v>
      </c>
      <c r="N44" s="299">
        <f>D44*M44</f>
        <v>0</v>
      </c>
    </row>
    <row r="45" spans="1:14" ht="12.75">
      <c r="A45" s="45"/>
      <c r="B45" s="28"/>
      <c r="C45" s="304"/>
      <c r="D45" s="28"/>
      <c r="E45" s="304"/>
      <c r="F45" s="315"/>
      <c r="G45" s="316"/>
      <c r="H45" s="328"/>
      <c r="I45" s="304"/>
      <c r="J45" s="28"/>
      <c r="K45" s="28"/>
      <c r="L45" s="28"/>
      <c r="M45" s="28"/>
      <c r="N45" s="46"/>
    </row>
    <row r="46" spans="1:14" ht="12.75">
      <c r="A46" s="45"/>
      <c r="B46" s="28" t="s">
        <v>330</v>
      </c>
      <c r="C46" s="304">
        <v>1514</v>
      </c>
      <c r="D46" s="122">
        <v>44000000</v>
      </c>
      <c r="E46" s="304">
        <f>C46*8</f>
        <v>12112</v>
      </c>
      <c r="F46" s="315">
        <f>3*E46/D46</f>
        <v>0.0008258181818181818</v>
      </c>
      <c r="G46" s="316">
        <f>($B$7+$B$2+$B$3+(2*$B$8)+((2*$G$11)+$G$12+(3*$G$14)+$G$13)/$D46)</f>
        <v>7.809092727272729E-05</v>
      </c>
      <c r="H46" s="325">
        <f>F46/(F46+G46)</f>
        <v>0.9136075447328261</v>
      </c>
      <c r="I46" s="306">
        <f>D46*H46</f>
        <v>40198731.96824435</v>
      </c>
      <c r="J46" s="28"/>
      <c r="K46" s="129"/>
      <c r="L46" s="43"/>
      <c r="M46" s="131">
        <f>K46/(K46+G46)</f>
        <v>0</v>
      </c>
      <c r="N46" s="299">
        <f>D46*M46</f>
        <v>0</v>
      </c>
    </row>
    <row r="47" spans="1:14" ht="12.75">
      <c r="A47" s="45"/>
      <c r="B47" s="28" t="s">
        <v>327</v>
      </c>
      <c r="C47" s="304">
        <v>1514</v>
      </c>
      <c r="D47" s="122">
        <v>44000000</v>
      </c>
      <c r="E47" s="304">
        <f>C47*8</f>
        <v>12112</v>
      </c>
      <c r="F47" s="315">
        <f>3*E47/D47</f>
        <v>0.0008258181818181818</v>
      </c>
      <c r="G47" s="316">
        <f>($B$7+$B$2+$B$3+(2*$B$8)+((2*$B$11)+$B$12+(2*$B$14)+$B$13)/$D47)</f>
        <v>7.668183636363638E-05</v>
      </c>
      <c r="H47" s="325">
        <f>F47/(F47+G47)</f>
        <v>0.9150339780401113</v>
      </c>
      <c r="I47" s="306">
        <f>D47*H47</f>
        <v>40261495.0337649</v>
      </c>
      <c r="J47" s="28"/>
      <c r="K47" s="129"/>
      <c r="L47" s="43"/>
      <c r="M47" s="131">
        <f>K47/(K47+G47)</f>
        <v>0</v>
      </c>
      <c r="N47" s="299">
        <f>D47*M47</f>
        <v>0</v>
      </c>
    </row>
    <row r="48" spans="1:14" ht="12.75">
      <c r="A48" s="45"/>
      <c r="B48" s="28" t="s">
        <v>328</v>
      </c>
      <c r="C48" s="304">
        <v>1514</v>
      </c>
      <c r="D48" s="122">
        <v>44000000</v>
      </c>
      <c r="E48" s="304">
        <f>C48*8</f>
        <v>12112</v>
      </c>
      <c r="F48" s="315">
        <f>3*E48/D48</f>
        <v>0.0008258181818181818</v>
      </c>
      <c r="G48" s="316">
        <f>($B$7+$B$2+$B$3+(2*$B$8)+((2*$K$11)+$K$12+(3*$K$14)+$K$13)/$D48)</f>
        <v>7.99091090909091E-05</v>
      </c>
      <c r="H48" s="325">
        <f>F48/(F48+G48)</f>
        <v>0.9117735438768735</v>
      </c>
      <c r="I48" s="306">
        <f>D48*H48</f>
        <v>40118035.930582434</v>
      </c>
      <c r="J48" s="28"/>
      <c r="K48" s="129"/>
      <c r="L48" s="43"/>
      <c r="M48" s="131">
        <f>K48/(K48+G48)</f>
        <v>0</v>
      </c>
      <c r="N48" s="299">
        <f>D48*M48</f>
        <v>0</v>
      </c>
    </row>
    <row r="49" spans="1:14" ht="12.75">
      <c r="A49" s="236"/>
      <c r="B49" s="48" t="s">
        <v>329</v>
      </c>
      <c r="C49" s="305">
        <v>1514</v>
      </c>
      <c r="D49" s="301">
        <v>44000000</v>
      </c>
      <c r="E49" s="305">
        <f>C49*8</f>
        <v>12112</v>
      </c>
      <c r="F49" s="318">
        <f>3*E49/D49</f>
        <v>0.0008258181818181818</v>
      </c>
      <c r="G49" s="317">
        <f>(3*$B$3+2*$B$5+(5*$B$8)+((5*$G$15)+(3*$G$16)+(3*$G$17))/$D49)</f>
        <v>0.0002493636363636364</v>
      </c>
      <c r="H49" s="326">
        <f>F49/(F49+G49)</f>
        <v>0.7680730531833939</v>
      </c>
      <c r="I49" s="307">
        <f>D49*H49</f>
        <v>33795214.34006933</v>
      </c>
      <c r="J49" s="48"/>
      <c r="K49" s="302"/>
      <c r="L49" s="303"/>
      <c r="M49" s="374">
        <f>K49/(K49+G49)</f>
        <v>0</v>
      </c>
      <c r="N49" s="375">
        <f>D49*M49</f>
        <v>0</v>
      </c>
    </row>
    <row r="50" spans="1:14" ht="12.75">
      <c r="A50" s="28"/>
      <c r="B50" s="28"/>
      <c r="C50" s="304"/>
      <c r="D50" s="122"/>
      <c r="E50" s="304"/>
      <c r="F50" s="315"/>
      <c r="G50" s="316"/>
      <c r="H50" s="327"/>
      <c r="I50" s="309"/>
      <c r="J50" s="28"/>
      <c r="K50" s="129"/>
      <c r="L50" s="300"/>
      <c r="M50" s="131"/>
      <c r="N50" s="122"/>
    </row>
    <row r="51" spans="1:14" ht="12.75">
      <c r="A51" s="28"/>
      <c r="B51" s="28"/>
      <c r="C51" s="304"/>
      <c r="D51" s="122"/>
      <c r="E51" s="304"/>
      <c r="F51" s="129"/>
      <c r="G51" s="300"/>
      <c r="H51" s="308"/>
      <c r="I51" s="309"/>
      <c r="J51" s="28"/>
      <c r="K51" s="129"/>
      <c r="L51" s="300"/>
      <c r="M51" s="131"/>
      <c r="N51" s="122"/>
    </row>
    <row r="52" spans="1:14" ht="12.75">
      <c r="A52" s="310" t="s">
        <v>428</v>
      </c>
      <c r="B52" s="311"/>
      <c r="C52" s="312"/>
      <c r="I52" s="309"/>
      <c r="J52" s="28"/>
      <c r="K52" s="129"/>
      <c r="L52" s="300"/>
      <c r="M52" s="131"/>
      <c r="N52" s="122"/>
    </row>
    <row r="53" spans="1:14" ht="12.75">
      <c r="A53" s="23" t="s">
        <v>152</v>
      </c>
      <c r="B53" s="21">
        <v>5E-06</v>
      </c>
      <c r="C53" s="6" t="s">
        <v>104</v>
      </c>
      <c r="I53" s="309"/>
      <c r="J53" s="28"/>
      <c r="K53" s="129"/>
      <c r="L53" s="300"/>
      <c r="M53" s="131"/>
      <c r="N53" s="122"/>
    </row>
    <row r="54" spans="1:14" ht="12.75">
      <c r="A54" s="23" t="s">
        <v>82</v>
      </c>
      <c r="B54" s="21">
        <v>1E-05</v>
      </c>
      <c r="C54" s="6" t="s">
        <v>104</v>
      </c>
      <c r="I54" s="309"/>
      <c r="J54" s="28"/>
      <c r="K54" s="129"/>
      <c r="L54" s="300"/>
      <c r="M54" s="131"/>
      <c r="N54" s="122"/>
    </row>
    <row r="55" spans="1:14" ht="12.75">
      <c r="A55" s="7"/>
      <c r="B55" s="7"/>
      <c r="C55" s="7"/>
      <c r="F55" s="251"/>
      <c r="G55" s="35"/>
      <c r="H55" s="27"/>
      <c r="I55" s="309"/>
      <c r="J55" s="28"/>
      <c r="K55" s="129"/>
      <c r="L55" s="300"/>
      <c r="M55" s="131"/>
      <c r="N55" s="122"/>
    </row>
    <row r="56" spans="1:14" ht="12.75">
      <c r="A56" s="107" t="s">
        <v>352</v>
      </c>
      <c r="B56" s="119">
        <v>3E-05</v>
      </c>
      <c r="C56" s="7" t="s">
        <v>104</v>
      </c>
      <c r="F56" s="251"/>
      <c r="G56" s="35"/>
      <c r="H56" s="27"/>
      <c r="I56" s="309"/>
      <c r="J56" s="28"/>
      <c r="K56" s="129"/>
      <c r="L56" s="300"/>
      <c r="M56" s="131"/>
      <c r="N56" s="122"/>
    </row>
    <row r="57" spans="1:14" ht="12.75">
      <c r="A57" s="23" t="s">
        <v>338</v>
      </c>
      <c r="B57" s="21">
        <v>1E-06</v>
      </c>
      <c r="C57" s="6" t="s">
        <v>104</v>
      </c>
      <c r="I57" s="309"/>
      <c r="J57" s="28"/>
      <c r="K57" s="129"/>
      <c r="L57" s="300"/>
      <c r="M57" s="131"/>
      <c r="N57" s="122"/>
    </row>
    <row r="58" spans="1:14" ht="12.75">
      <c r="A58" s="23" t="s">
        <v>346</v>
      </c>
      <c r="B58" s="21">
        <v>5.8182E-06</v>
      </c>
      <c r="C58" s="6" t="s">
        <v>104</v>
      </c>
      <c r="I58" s="309"/>
      <c r="J58" s="28"/>
      <c r="K58" s="129"/>
      <c r="L58" s="300"/>
      <c r="M58" s="131"/>
      <c r="N58" s="122"/>
    </row>
    <row r="59" spans="1:14" ht="12.75">
      <c r="A59" s="23" t="s">
        <v>438</v>
      </c>
      <c r="B59" s="21">
        <v>2.5E-05</v>
      </c>
      <c r="C59" s="6" t="s">
        <v>104</v>
      </c>
      <c r="I59" s="309"/>
      <c r="J59" s="28"/>
      <c r="K59" s="129"/>
      <c r="L59" s="300"/>
      <c r="M59" s="131"/>
      <c r="N59" s="122"/>
    </row>
    <row r="60" spans="1:14" ht="12.75">
      <c r="A60" s="28"/>
      <c r="B60" s="28"/>
      <c r="C60" s="304"/>
      <c r="D60" s="122"/>
      <c r="E60" s="304"/>
      <c r="F60" s="129"/>
      <c r="G60" s="300"/>
      <c r="H60" s="308"/>
      <c r="I60" s="309"/>
      <c r="J60" s="28"/>
      <c r="K60" s="129"/>
      <c r="L60" s="300"/>
      <c r="M60" s="131"/>
      <c r="N60" s="122"/>
    </row>
    <row r="61" spans="1:14" ht="51.75" thickBot="1">
      <c r="A61" s="334" t="s">
        <v>334</v>
      </c>
      <c r="B61" s="337" t="s">
        <v>332</v>
      </c>
      <c r="C61" s="335" t="s">
        <v>415</v>
      </c>
      <c r="D61" s="335" t="s">
        <v>354</v>
      </c>
      <c r="E61" s="335" t="s">
        <v>416</v>
      </c>
      <c r="F61" s="335" t="s">
        <v>347</v>
      </c>
      <c r="G61" s="335" t="s">
        <v>348</v>
      </c>
      <c r="H61" s="337" t="s">
        <v>103</v>
      </c>
      <c r="I61" s="335" t="s">
        <v>355</v>
      </c>
      <c r="J61" s="337"/>
      <c r="K61" s="337" t="s">
        <v>331</v>
      </c>
      <c r="L61" s="337" t="s">
        <v>325</v>
      </c>
      <c r="M61" s="337" t="s">
        <v>333</v>
      </c>
      <c r="N61" s="338" t="s">
        <v>326</v>
      </c>
    </row>
    <row r="62" spans="1:14" ht="13.5" thickTop="1">
      <c r="A62" s="45" t="s">
        <v>429</v>
      </c>
      <c r="B62" s="28" t="s">
        <v>330</v>
      </c>
      <c r="C62" s="304">
        <v>512</v>
      </c>
      <c r="D62" s="122">
        <v>22000000</v>
      </c>
      <c r="E62" s="304">
        <f>C62*8</f>
        <v>4096</v>
      </c>
      <c r="F62" s="315">
        <f>3*E62/D62</f>
        <v>0.0005585454545454546</v>
      </c>
      <c r="G62" s="316">
        <f>($B$58+$B$53+$B$54+(2*$B$59)+((2*$G$11)+$G$12+(3*$G$14)+$G$13)/$D62)</f>
        <v>8.536365454545456E-05</v>
      </c>
      <c r="H62" s="325">
        <f>F62/(F62+G62)</f>
        <v>0.8674290309916975</v>
      </c>
      <c r="I62" s="306">
        <f>D62*H62</f>
        <v>19083438.681817345</v>
      </c>
      <c r="J62" s="28"/>
      <c r="K62" s="129"/>
      <c r="L62" s="43"/>
      <c r="M62" s="131">
        <f>K62/(K62+G62)</f>
        <v>0</v>
      </c>
      <c r="N62" s="299">
        <f>D62*M62</f>
        <v>0</v>
      </c>
    </row>
    <row r="63" spans="1:14" ht="12.75">
      <c r="A63" s="45"/>
      <c r="B63" s="28" t="s">
        <v>327</v>
      </c>
      <c r="C63" s="304">
        <v>512</v>
      </c>
      <c r="D63" s="122">
        <v>22000000</v>
      </c>
      <c r="E63" s="304">
        <f>C63*8</f>
        <v>4096</v>
      </c>
      <c r="F63" s="315">
        <f>3*E63/D63</f>
        <v>0.0005585454545454546</v>
      </c>
      <c r="G63" s="316">
        <f>($B$58+$B$53+$B$54+(2*$B$59)+((2*$B$11)+$B$12+(3*$B$14)+$B$13)/$D63)</f>
        <v>8.327274545454546E-05</v>
      </c>
      <c r="H63" s="325">
        <f>F63/(F63+G63)</f>
        <v>0.8702549328539679</v>
      </c>
      <c r="I63" s="306">
        <f>D63*H63</f>
        <v>19145608.522787295</v>
      </c>
      <c r="J63" s="28"/>
      <c r="K63" s="129"/>
      <c r="L63" s="43"/>
      <c r="M63" s="131">
        <f>K63/(K63+G63)</f>
        <v>0</v>
      </c>
      <c r="N63" s="299">
        <f>D63*M63</f>
        <v>0</v>
      </c>
    </row>
    <row r="64" spans="1:14" ht="12.75">
      <c r="A64" s="45"/>
      <c r="B64" s="28" t="s">
        <v>328</v>
      </c>
      <c r="C64" s="304">
        <v>512</v>
      </c>
      <c r="D64" s="122">
        <v>22000000</v>
      </c>
      <c r="E64" s="304">
        <f>C64*8</f>
        <v>4096</v>
      </c>
      <c r="F64" s="315">
        <f>3*E64/D64</f>
        <v>0.0005585454545454546</v>
      </c>
      <c r="G64" s="316">
        <f>($B$58+$B$53+$B$54+(2*$B$59)+((2*$K$11)+$K$12+(3*$K$14)+$K$13)/$D64)</f>
        <v>8.900001818181819E-05</v>
      </c>
      <c r="H64" s="325">
        <f>F64/(F64+G64)</f>
        <v>0.8625578867736099</v>
      </c>
      <c r="I64" s="306">
        <f>D64*H64</f>
        <v>18976273.509019416</v>
      </c>
      <c r="J64" s="28"/>
      <c r="K64" s="129"/>
      <c r="L64" s="43"/>
      <c r="M64" s="131">
        <f>K64/(K64+G64)</f>
        <v>0</v>
      </c>
      <c r="N64" s="299">
        <f>D64*M64</f>
        <v>0</v>
      </c>
    </row>
    <row r="65" spans="1:14" ht="12.75">
      <c r="A65" s="45"/>
      <c r="B65" s="28" t="s">
        <v>329</v>
      </c>
      <c r="C65" s="304">
        <v>512</v>
      </c>
      <c r="D65" s="122">
        <v>22000000</v>
      </c>
      <c r="E65" s="304">
        <f>C65*8</f>
        <v>4096</v>
      </c>
      <c r="F65" s="315">
        <f>3*E65/D65</f>
        <v>0.0005585454545454546</v>
      </c>
      <c r="G65" s="316">
        <f>(3*$B$54+2*$B$56+(5*$B$59)+((5*$G$15)+(3*$G$16)+(3*$K$18))/$D65)</f>
        <v>0.0002924545454545455</v>
      </c>
      <c r="H65" s="325">
        <f>F65/(F65+G65)</f>
        <v>0.6563401346010042</v>
      </c>
      <c r="I65" s="306">
        <f>D65*H65</f>
        <v>14439482.961222092</v>
      </c>
      <c r="J65" s="28"/>
      <c r="K65" s="28"/>
      <c r="L65" s="28"/>
      <c r="M65" s="131">
        <f>K65/(K65+G65)</f>
        <v>0</v>
      </c>
      <c r="N65" s="299">
        <f>D65*M65</f>
        <v>0</v>
      </c>
    </row>
    <row r="66" spans="1:14" ht="12.75">
      <c r="A66" s="45"/>
      <c r="B66" s="28"/>
      <c r="C66" s="304"/>
      <c r="D66" s="122"/>
      <c r="E66" s="304"/>
      <c r="F66" s="315"/>
      <c r="G66" s="316"/>
      <c r="H66" s="327"/>
      <c r="I66" s="309"/>
      <c r="J66" s="28"/>
      <c r="K66" s="28"/>
      <c r="L66" s="28"/>
      <c r="M66" s="131"/>
      <c r="N66" s="299"/>
    </row>
    <row r="67" spans="1:14" ht="12.75">
      <c r="A67" s="45"/>
      <c r="B67" s="28" t="s">
        <v>330</v>
      </c>
      <c r="C67" s="304">
        <v>1514</v>
      </c>
      <c r="D67" s="122">
        <v>22000000</v>
      </c>
      <c r="E67" s="304">
        <f>C67*8</f>
        <v>12112</v>
      </c>
      <c r="F67" s="315">
        <f>3*E67/D67</f>
        <v>0.0016516363636363636</v>
      </c>
      <c r="G67" s="316">
        <f>($B$58+$B$53+$B$54+(2*$B$59)+((2*$G$11)+$G$12+(3*$G$14)+$G$13)/$D67)</f>
        <v>8.536365454545456E-05</v>
      </c>
      <c r="H67" s="325">
        <f>F67/(F67+G67)</f>
        <v>0.9508556973794349</v>
      </c>
      <c r="I67" s="306">
        <f>D67*H67</f>
        <v>20918825.342347566</v>
      </c>
      <c r="J67" s="28"/>
      <c r="K67" s="129"/>
      <c r="L67" s="43"/>
      <c r="M67" s="131">
        <f>K67/(K67+G67)</f>
        <v>0</v>
      </c>
      <c r="N67" s="299">
        <f>D67*M67</f>
        <v>0</v>
      </c>
    </row>
    <row r="68" spans="1:14" ht="12.75">
      <c r="A68" s="45"/>
      <c r="B68" s="28" t="s">
        <v>327</v>
      </c>
      <c r="C68" s="304">
        <v>1514</v>
      </c>
      <c r="D68" s="122">
        <v>22000000</v>
      </c>
      <c r="E68" s="304">
        <f>C68*8</f>
        <v>12112</v>
      </c>
      <c r="F68" s="315">
        <f>3*E68/D68</f>
        <v>0.0016516363636363636</v>
      </c>
      <c r="G68" s="316">
        <f>($B$58+$B$53+$B$54+(2*$B$59)+((2*$B$11)+$B$12+(3*$B$14)+$B$13)/$D68)</f>
        <v>8.327274545454546E-05</v>
      </c>
      <c r="H68" s="325">
        <f>F68/(F68+G68)</f>
        <v>0.9520016668203556</v>
      </c>
      <c r="I68" s="306">
        <f>D68*H68</f>
        <v>20944036.670047823</v>
      </c>
      <c r="J68" s="28"/>
      <c r="K68" s="129"/>
      <c r="L68" s="43"/>
      <c r="M68" s="131">
        <f>K68/(K68+G68)</f>
        <v>0</v>
      </c>
      <c r="N68" s="299">
        <f>D68*M68</f>
        <v>0</v>
      </c>
    </row>
    <row r="69" spans="1:14" ht="12.75">
      <c r="A69" s="45"/>
      <c r="B69" s="28" t="s">
        <v>328</v>
      </c>
      <c r="C69" s="304">
        <v>1514</v>
      </c>
      <c r="D69" s="122">
        <v>22000000</v>
      </c>
      <c r="E69" s="304">
        <f>C69*8</f>
        <v>12112</v>
      </c>
      <c r="F69" s="315">
        <f>3*E69/D69</f>
        <v>0.0016516363636363636</v>
      </c>
      <c r="G69" s="316">
        <f>($B$58+$B$53+$B$54+(2*$B$59)+((2*$K$11)+$K$12+(3*$K$14)+$K$13)/$D69)</f>
        <v>8.900001818181819E-05</v>
      </c>
      <c r="H69" s="325">
        <f>F69/(F69+G69)</f>
        <v>0.9488692646485688</v>
      </c>
      <c r="I69" s="306">
        <f>D69*H69</f>
        <v>20875123.822268512</v>
      </c>
      <c r="J69" s="28"/>
      <c r="K69" s="129"/>
      <c r="L69" s="43"/>
      <c r="M69" s="131">
        <f>K69/(K69+G69)</f>
        <v>0</v>
      </c>
      <c r="N69" s="299">
        <f>D69*M69</f>
        <v>0</v>
      </c>
    </row>
    <row r="70" spans="1:14" ht="12.75">
      <c r="A70" s="45"/>
      <c r="B70" s="28" t="s">
        <v>329</v>
      </c>
      <c r="C70" s="304">
        <v>1514</v>
      </c>
      <c r="D70" s="122">
        <v>22000000</v>
      </c>
      <c r="E70" s="304">
        <f>C70*8</f>
        <v>12112</v>
      </c>
      <c r="F70" s="315">
        <f>3*E70/D70</f>
        <v>0.0016516363636363636</v>
      </c>
      <c r="G70" s="316">
        <f>(3*$B$54+2*$B$56+(5*$B$59)+((5*$G$15)+(3*$G$16)+(3*$K$18))/$D70)</f>
        <v>0.0002924545454545455</v>
      </c>
      <c r="H70" s="325">
        <f>F70/(F70+G70)</f>
        <v>0.8495674538227729</v>
      </c>
      <c r="I70" s="306">
        <f>D70*H70</f>
        <v>18690483.984101005</v>
      </c>
      <c r="J70" s="28"/>
      <c r="K70" s="28"/>
      <c r="L70" s="28"/>
      <c r="M70" s="131">
        <f>K70/(K70+G70)</f>
        <v>0</v>
      </c>
      <c r="N70" s="299">
        <f>D70*M70</f>
        <v>0</v>
      </c>
    </row>
    <row r="71" spans="1:14" ht="12.75">
      <c r="A71" s="45"/>
      <c r="B71" s="28"/>
      <c r="C71" s="304"/>
      <c r="D71" s="122"/>
      <c r="E71" s="304"/>
      <c r="F71" s="315"/>
      <c r="G71" s="316"/>
      <c r="H71" s="327"/>
      <c r="I71" s="309"/>
      <c r="J71" s="28"/>
      <c r="K71" s="28"/>
      <c r="L71" s="28"/>
      <c r="M71" s="131"/>
      <c r="N71" s="299"/>
    </row>
    <row r="72" spans="1:14" ht="12.75">
      <c r="A72" s="45"/>
      <c r="B72" s="28" t="s">
        <v>330</v>
      </c>
      <c r="C72" s="304">
        <v>512</v>
      </c>
      <c r="D72" s="122">
        <v>33000000</v>
      </c>
      <c r="E72" s="304">
        <f>C72*8</f>
        <v>4096</v>
      </c>
      <c r="F72" s="315">
        <f>3*E72/D72</f>
        <v>0.0003723636363636364</v>
      </c>
      <c r="G72" s="316">
        <f>($B$58+$B$53+$B$54+(2*$B$59)+((2*$G$11)+$G$12+(3*$G$14)+$G$13)/$D72)</f>
        <v>8.051516969696972E-05</v>
      </c>
      <c r="H72" s="325">
        <f>F72/(F72+G72)</f>
        <v>0.8222147545447405</v>
      </c>
      <c r="I72" s="306">
        <f>D72*H72</f>
        <v>27133086.899976436</v>
      </c>
      <c r="J72" s="28"/>
      <c r="K72" s="129"/>
      <c r="L72" s="43"/>
      <c r="M72" s="131">
        <f>K72/(K72+G72)</f>
        <v>0</v>
      </c>
      <c r="N72" s="299">
        <f>D72*M72</f>
        <v>0</v>
      </c>
    </row>
    <row r="73" spans="1:14" ht="12.75">
      <c r="A73" s="45"/>
      <c r="B73" s="28" t="s">
        <v>327</v>
      </c>
      <c r="C73" s="304">
        <v>512</v>
      </c>
      <c r="D73" s="122">
        <v>33000000</v>
      </c>
      <c r="E73" s="304">
        <f>C73*8</f>
        <v>4096</v>
      </c>
      <c r="F73" s="315">
        <f>3*E73/D73</f>
        <v>0.0003723636363636364</v>
      </c>
      <c r="G73" s="316">
        <f>($B$58+$B$53+$B$54+(2*$B$59)+((2*$B$11)+$B$12+(3*$B$14)+$B$13)/$D73)</f>
        <v>7.912123030303031E-05</v>
      </c>
      <c r="H73" s="325">
        <f>F73/(F73+G73)</f>
        <v>0.8247533059365069</v>
      </c>
      <c r="I73" s="306">
        <f>D73*H73</f>
        <v>27216859.095904727</v>
      </c>
      <c r="J73" s="28"/>
      <c r="K73" s="129"/>
      <c r="L73" s="43"/>
      <c r="M73" s="131">
        <f>K73/(K73+G73)</f>
        <v>0</v>
      </c>
      <c r="N73" s="299">
        <f>D73*M73</f>
        <v>0</v>
      </c>
    </row>
    <row r="74" spans="1:14" ht="12.75">
      <c r="A74" s="45"/>
      <c r="B74" s="28" t="s">
        <v>328</v>
      </c>
      <c r="C74" s="304">
        <v>512</v>
      </c>
      <c r="D74" s="122">
        <v>33000000</v>
      </c>
      <c r="E74" s="304">
        <f>C74*8</f>
        <v>4096</v>
      </c>
      <c r="F74" s="315">
        <f>3*E74/D74</f>
        <v>0.0003723636363636364</v>
      </c>
      <c r="G74" s="316">
        <f>($B$58+$B$53+$B$54+(2*$B$59)+((2*$K$11)+$K$12+(3*$K$14)+$K$13)/$D74)</f>
        <v>8.293941212121213E-05</v>
      </c>
      <c r="H74" s="325">
        <f>F74/(F74+G74)</f>
        <v>0.8178369057768956</v>
      </c>
      <c r="I74" s="306">
        <f>D74*H74</f>
        <v>26988617.890637554</v>
      </c>
      <c r="J74" s="28"/>
      <c r="K74" s="129"/>
      <c r="L74" s="43"/>
      <c r="M74" s="131">
        <f>K74/(K74+G74)</f>
        <v>0</v>
      </c>
      <c r="N74" s="299">
        <f>D74*M74</f>
        <v>0</v>
      </c>
    </row>
    <row r="75" spans="1:14" ht="12.75">
      <c r="A75" s="45"/>
      <c r="B75" s="28" t="s">
        <v>329</v>
      </c>
      <c r="C75" s="304">
        <v>512</v>
      </c>
      <c r="D75" s="122">
        <v>33000000</v>
      </c>
      <c r="E75" s="304">
        <f>C75*8</f>
        <v>4096</v>
      </c>
      <c r="F75" s="315">
        <f>3*E75/D75</f>
        <v>0.0003723636363636364</v>
      </c>
      <c r="G75" s="316">
        <f>(3*$B$54+2*$B$56+(5*$B$59)+((5*$G$15)+(3*$G$16)+(3*$K$18))/$D75)</f>
        <v>0.00026663636363636364</v>
      </c>
      <c r="H75" s="325">
        <f>F75/(F75+G75)</f>
        <v>0.5827286954047518</v>
      </c>
      <c r="I75" s="306">
        <f>D75*H75</f>
        <v>19230046.94835681</v>
      </c>
      <c r="J75" s="28"/>
      <c r="K75" s="28"/>
      <c r="L75" s="28"/>
      <c r="M75" s="131">
        <f>K75/(K75+G75)</f>
        <v>0</v>
      </c>
      <c r="N75" s="299">
        <f>D75*M75</f>
        <v>0</v>
      </c>
    </row>
    <row r="76" spans="1:14" ht="12.75">
      <c r="A76" s="45"/>
      <c r="B76" s="28"/>
      <c r="C76" s="304"/>
      <c r="D76" s="122"/>
      <c r="E76" s="304"/>
      <c r="F76" s="315"/>
      <c r="G76" s="316"/>
      <c r="H76" s="327"/>
      <c r="I76" s="309"/>
      <c r="J76" s="28"/>
      <c r="K76" s="28"/>
      <c r="L76" s="28"/>
      <c r="M76" s="131"/>
      <c r="N76" s="299"/>
    </row>
    <row r="77" spans="1:14" ht="12.75">
      <c r="A77" s="45"/>
      <c r="B77" s="28" t="s">
        <v>330</v>
      </c>
      <c r="C77" s="304">
        <v>1514</v>
      </c>
      <c r="D77" s="122">
        <v>33000000</v>
      </c>
      <c r="E77" s="304">
        <f>C77*8</f>
        <v>12112</v>
      </c>
      <c r="F77" s="315">
        <f>3*E77/D77</f>
        <v>0.001101090909090909</v>
      </c>
      <c r="G77" s="316">
        <f>($B$58+$B$53+$B$54+(2*$B$59)+((2*$G$11)+$G$12+(3*$G$14)+$G$13)/$D77)</f>
        <v>8.051516969696972E-05</v>
      </c>
      <c r="H77" s="325">
        <f>F77/(F77+G77)</f>
        <v>0.9318595501983501</v>
      </c>
      <c r="I77" s="306">
        <f>D77*H77</f>
        <v>30751365.156545553</v>
      </c>
      <c r="J77" s="28"/>
      <c r="K77" s="129"/>
      <c r="L77" s="43"/>
      <c r="M77" s="131">
        <f>K77/(K77+G77)</f>
        <v>0</v>
      </c>
      <c r="N77" s="299">
        <f>D77*M77</f>
        <v>0</v>
      </c>
    </row>
    <row r="78" spans="1:14" ht="12.75">
      <c r="A78" s="45"/>
      <c r="B78" s="28" t="s">
        <v>327</v>
      </c>
      <c r="C78" s="304">
        <v>1514</v>
      </c>
      <c r="D78" s="122">
        <v>33000000</v>
      </c>
      <c r="E78" s="304">
        <f>C78*8</f>
        <v>12112</v>
      </c>
      <c r="F78" s="315">
        <f>3*E78/D78</f>
        <v>0.001101090909090909</v>
      </c>
      <c r="G78" s="316">
        <f>($B$58+$B$53+$B$54+(2*$B$59)+((2*$B$11)+$B$12+(3*$B$14)+$B$13)/$D78)</f>
        <v>7.912123030303031E-05</v>
      </c>
      <c r="H78" s="325">
        <f>F78/(F78+G78)</f>
        <v>0.9329601622775542</v>
      </c>
      <c r="I78" s="306">
        <f>D78*H78</f>
        <v>30787685.355159286</v>
      </c>
      <c r="J78" s="28"/>
      <c r="K78" s="129"/>
      <c r="L78" s="43"/>
      <c r="M78" s="131">
        <f>K78/(K78+G78)</f>
        <v>0</v>
      </c>
      <c r="N78" s="299">
        <f>D78*M78</f>
        <v>0</v>
      </c>
    </row>
    <row r="79" spans="1:14" ht="12.75">
      <c r="A79" s="45"/>
      <c r="B79" s="28" t="s">
        <v>328</v>
      </c>
      <c r="C79" s="304">
        <v>1514</v>
      </c>
      <c r="D79" s="122">
        <v>33000000</v>
      </c>
      <c r="E79" s="304">
        <f>C79*8</f>
        <v>12112</v>
      </c>
      <c r="F79" s="315">
        <f>3*E79/D79</f>
        <v>0.001101090909090909</v>
      </c>
      <c r="G79" s="316">
        <f>($B$58+$B$53+$B$54+(2*$B$59)+((2*$K$11)+$K$12+(3*$K$14)+$K$13)/$D79)</f>
        <v>8.293941212121213E-05</v>
      </c>
      <c r="H79" s="325">
        <f>F79/(F79+G79)</f>
        <v>0.9299516147219059</v>
      </c>
      <c r="I79" s="306">
        <f>D79*H79</f>
        <v>30688403.285822894</v>
      </c>
      <c r="J79" s="28"/>
      <c r="K79" s="129"/>
      <c r="L79" s="43"/>
      <c r="M79" s="131">
        <f>K79/(K79+G79)</f>
        <v>0</v>
      </c>
      <c r="N79" s="299">
        <f>D79*M79</f>
        <v>0</v>
      </c>
    </row>
    <row r="80" spans="1:14" ht="12.75">
      <c r="A80" s="45"/>
      <c r="B80" s="28" t="s">
        <v>329</v>
      </c>
      <c r="C80" s="304">
        <v>1514</v>
      </c>
      <c r="D80" s="122">
        <v>33000000</v>
      </c>
      <c r="E80" s="304">
        <f>C80*8</f>
        <v>12112</v>
      </c>
      <c r="F80" s="315">
        <f>3*E80/D80</f>
        <v>0.001101090909090909</v>
      </c>
      <c r="G80" s="316">
        <f>(3*$B$54+2*$B$56+(5*$B$59)+((5*$G$15)+(3*$G$16)+(3*$K$18))/$D80)</f>
        <v>0.00026663636363636364</v>
      </c>
      <c r="H80" s="325">
        <f>F80/(F80+G80)</f>
        <v>0.8050515121302758</v>
      </c>
      <c r="I80" s="306">
        <f>D80*H80</f>
        <v>26566699.900299102</v>
      </c>
      <c r="J80" s="28"/>
      <c r="K80" s="28"/>
      <c r="L80" s="28"/>
      <c r="M80" s="131">
        <f>K80/(K80+G80)</f>
        <v>0</v>
      </c>
      <c r="N80" s="299">
        <f>D80*M80</f>
        <v>0</v>
      </c>
    </row>
    <row r="81" spans="1:14" ht="12.75">
      <c r="A81" s="45"/>
      <c r="B81" s="28"/>
      <c r="C81" s="304"/>
      <c r="D81" s="122"/>
      <c r="E81" s="304"/>
      <c r="F81" s="315"/>
      <c r="G81" s="316"/>
      <c r="H81" s="327"/>
      <c r="I81" s="309"/>
      <c r="J81" s="28"/>
      <c r="K81" s="28"/>
      <c r="L81" s="28"/>
      <c r="M81" s="131"/>
      <c r="N81" s="299"/>
    </row>
    <row r="82" spans="1:14" ht="12.75">
      <c r="A82" s="45"/>
      <c r="B82" s="28" t="s">
        <v>330</v>
      </c>
      <c r="C82" s="304">
        <v>512</v>
      </c>
      <c r="D82" s="122">
        <v>44000000</v>
      </c>
      <c r="E82" s="304">
        <f>C82*8</f>
        <v>4096</v>
      </c>
      <c r="F82" s="315">
        <f>3*E82/D82</f>
        <v>0.0002792727272727273</v>
      </c>
      <c r="G82" s="316">
        <f>($B$58+$B$53+$B$54+(2*$B$59)+((2*$G$11)+$G$12+(3*$G$14)+$G$13)/$D82)</f>
        <v>7.809092727272729E-05</v>
      </c>
      <c r="H82" s="325">
        <f>F82/(F82+G82)</f>
        <v>0.7814804995430933</v>
      </c>
      <c r="I82" s="306">
        <f>D82*H82</f>
        <v>34385141.979896106</v>
      </c>
      <c r="J82" s="28"/>
      <c r="K82" s="129"/>
      <c r="L82" s="43"/>
      <c r="M82" s="131">
        <f>K82/(K82+G82)</f>
        <v>0</v>
      </c>
      <c r="N82" s="299">
        <f>D82*M82</f>
        <v>0</v>
      </c>
    </row>
    <row r="83" spans="1:14" ht="12.75">
      <c r="A83" s="45"/>
      <c r="B83" s="28" t="s">
        <v>327</v>
      </c>
      <c r="C83" s="304">
        <v>512</v>
      </c>
      <c r="D83" s="122">
        <v>44000000</v>
      </c>
      <c r="E83" s="304">
        <f>C83*8</f>
        <v>4096</v>
      </c>
      <c r="F83" s="315">
        <f>3*E83/D83</f>
        <v>0.0002792727272727273</v>
      </c>
      <c r="G83" s="316">
        <f>($B$58+$B$53+$B$54+(2*$B$59)+((2*$B$11)+$B$12+(3*$B$14)+$B$13)/$D83)</f>
        <v>7.704547272727274E-05</v>
      </c>
      <c r="H83" s="325">
        <f>F83/(F83+G83)</f>
        <v>0.7837734004963184</v>
      </c>
      <c r="I83" s="306">
        <f>D83*H83</f>
        <v>34486029.62183801</v>
      </c>
      <c r="J83" s="28"/>
      <c r="K83" s="129"/>
      <c r="L83" s="43"/>
      <c r="M83" s="131">
        <f>K83/(K83+G83)</f>
        <v>0</v>
      </c>
      <c r="N83" s="299">
        <f>D83*M83</f>
        <v>0</v>
      </c>
    </row>
    <row r="84" spans="1:14" ht="12.75">
      <c r="A84" s="45"/>
      <c r="B84" s="28" t="s">
        <v>328</v>
      </c>
      <c r="C84" s="304">
        <v>512</v>
      </c>
      <c r="D84" s="122">
        <v>44000000</v>
      </c>
      <c r="E84" s="304">
        <f>C84*8</f>
        <v>4096</v>
      </c>
      <c r="F84" s="315">
        <f>3*E84/D84</f>
        <v>0.0002792727272727273</v>
      </c>
      <c r="G84" s="316">
        <f>($B$58+$B$53+$B$54+(2*$B$59)+((2*$K$11)+$K$12+(3*$K$14)+$K$13)/$D84)</f>
        <v>7.99091090909091E-05</v>
      </c>
      <c r="H84" s="325">
        <f>F84/(F84+G84)</f>
        <v>0.7775246379385149</v>
      </c>
      <c r="I84" s="306">
        <f>D84*H84</f>
        <v>34211084.069294654</v>
      </c>
      <c r="J84" s="28"/>
      <c r="K84" s="129"/>
      <c r="L84" s="43"/>
      <c r="M84" s="131">
        <f>K84/(K84+G84)</f>
        <v>0</v>
      </c>
      <c r="N84" s="299">
        <f>D84*M84</f>
        <v>0</v>
      </c>
    </row>
    <row r="85" spans="1:14" ht="12.75">
      <c r="A85" s="45"/>
      <c r="B85" s="28" t="s">
        <v>329</v>
      </c>
      <c r="C85" s="304">
        <v>512</v>
      </c>
      <c r="D85" s="122">
        <v>44000000</v>
      </c>
      <c r="E85" s="304">
        <f>C85*8</f>
        <v>4096</v>
      </c>
      <c r="F85" s="315">
        <f>3*E85/D85</f>
        <v>0.0002792727272727273</v>
      </c>
      <c r="G85" s="316">
        <f>(3*$B$54+2*$B$56+(5*$B$59)+((5*$G$15)+(3*$G$16)+(3*$K$18))/$D85)</f>
        <v>0.00025372727272727276</v>
      </c>
      <c r="H85" s="325">
        <f>F85/(F85+G85)</f>
        <v>0.5239638410370118</v>
      </c>
      <c r="I85" s="306">
        <f>D85*H85</f>
        <v>23054409.00562852</v>
      </c>
      <c r="J85" s="28"/>
      <c r="K85" s="28"/>
      <c r="L85" s="28"/>
      <c r="M85" s="131">
        <f>K85/(K85+G85)</f>
        <v>0</v>
      </c>
      <c r="N85" s="299">
        <f>D85*M85</f>
        <v>0</v>
      </c>
    </row>
    <row r="86" spans="1:14" ht="12.75">
      <c r="A86" s="45"/>
      <c r="B86" s="28"/>
      <c r="C86" s="304"/>
      <c r="D86" s="122"/>
      <c r="E86" s="304"/>
      <c r="F86" s="315"/>
      <c r="G86" s="316"/>
      <c r="H86" s="327"/>
      <c r="I86" s="309"/>
      <c r="J86" s="28"/>
      <c r="K86" s="28"/>
      <c r="L86" s="28"/>
      <c r="M86" s="131"/>
      <c r="N86" s="299"/>
    </row>
    <row r="87" spans="1:14" ht="12.75">
      <c r="A87" s="45"/>
      <c r="B87" s="28" t="s">
        <v>330</v>
      </c>
      <c r="C87" s="304">
        <v>1514</v>
      </c>
      <c r="D87" s="122">
        <v>44000000</v>
      </c>
      <c r="E87" s="304">
        <f>C87*8</f>
        <v>12112</v>
      </c>
      <c r="F87" s="315">
        <f>3*E87/D87</f>
        <v>0.0008258181818181818</v>
      </c>
      <c r="G87" s="316">
        <f>($B$58+$B$53+$B$54+(2*$B$59)+((2*$G$11)+$G$12+(3*$G$14)+$G$13)/$D87)</f>
        <v>7.809092727272729E-05</v>
      </c>
      <c r="H87" s="325">
        <f>F87/(F87+G87)</f>
        <v>0.9136075447328261</v>
      </c>
      <c r="I87" s="306">
        <f>D87*H87</f>
        <v>40198731.96824435</v>
      </c>
      <c r="J87" s="28"/>
      <c r="K87" s="129"/>
      <c r="L87" s="43"/>
      <c r="M87" s="131">
        <f>K87/(K87+G87)</f>
        <v>0</v>
      </c>
      <c r="N87" s="299">
        <f>D87*M87</f>
        <v>0</v>
      </c>
    </row>
    <row r="88" spans="1:14" ht="12.75">
      <c r="A88" s="45"/>
      <c r="B88" s="28" t="s">
        <v>327</v>
      </c>
      <c r="C88" s="304">
        <v>1514</v>
      </c>
      <c r="D88" s="122">
        <v>44000000</v>
      </c>
      <c r="E88" s="304">
        <f>C88*8</f>
        <v>12112</v>
      </c>
      <c r="F88" s="315">
        <f>3*E88/D88</f>
        <v>0.0008258181818181818</v>
      </c>
      <c r="G88" s="316">
        <f>($B$58+$B$53+$B$54+(2*$B$59)+((2*$B$11)+$B$12+(3*$B$14)+$B$13)/$D88)</f>
        <v>7.704547272727274E-05</v>
      </c>
      <c r="H88" s="325">
        <f>F88/(F88+G88)</f>
        <v>0.914665439970489</v>
      </c>
      <c r="I88" s="306">
        <f>D88*H88</f>
        <v>40245279.35870151</v>
      </c>
      <c r="J88" s="28"/>
      <c r="K88" s="129"/>
      <c r="L88" s="43"/>
      <c r="M88" s="131">
        <f>K88/(K88+G88)</f>
        <v>0</v>
      </c>
      <c r="N88" s="299">
        <f>D88*M88</f>
        <v>0</v>
      </c>
    </row>
    <row r="89" spans="1:14" ht="12.75">
      <c r="A89" s="45"/>
      <c r="B89" s="28" t="s">
        <v>328</v>
      </c>
      <c r="C89" s="304">
        <v>1514</v>
      </c>
      <c r="D89" s="122">
        <v>44000000</v>
      </c>
      <c r="E89" s="304">
        <f>C89*8</f>
        <v>12112</v>
      </c>
      <c r="F89" s="315">
        <f>3*E89/D89</f>
        <v>0.0008258181818181818</v>
      </c>
      <c r="G89" s="316">
        <f>($B$58+$B$53+$B$54+(2*$B$59)+((2*$K$11)+$K$12+(3*$K$14)+$K$13)/$D89)</f>
        <v>7.99091090909091E-05</v>
      </c>
      <c r="H89" s="325">
        <f>F89/(F89+G89)</f>
        <v>0.9117735438768735</v>
      </c>
      <c r="I89" s="306">
        <f>D89*H89</f>
        <v>40118035.930582434</v>
      </c>
      <c r="J89" s="28"/>
      <c r="K89" s="129"/>
      <c r="L89" s="43"/>
      <c r="M89" s="131">
        <f>K89/(K89+G89)</f>
        <v>0</v>
      </c>
      <c r="N89" s="299">
        <f>D89*M89</f>
        <v>0</v>
      </c>
    </row>
    <row r="90" spans="1:14" ht="12.75">
      <c r="A90" s="236"/>
      <c r="B90" s="48" t="s">
        <v>329</v>
      </c>
      <c r="C90" s="305">
        <v>1514</v>
      </c>
      <c r="D90" s="301">
        <v>44000000</v>
      </c>
      <c r="E90" s="305">
        <f>C90*8</f>
        <v>12112</v>
      </c>
      <c r="F90" s="318">
        <f>3*E90/D90</f>
        <v>0.0008258181818181818</v>
      </c>
      <c r="G90" s="317">
        <f>(3*$B$54+2*$B$56+(5*$B$59)+((5*$G$15)+(3*$G$16)+(3*$K$18))/$D90)</f>
        <v>0.00025372727272727276</v>
      </c>
      <c r="H90" s="326">
        <f>F90/(F90+G90)</f>
        <v>0.7649684210526315</v>
      </c>
      <c r="I90" s="307">
        <f>D90*H90</f>
        <v>33658610.526315786</v>
      </c>
      <c r="J90" s="48"/>
      <c r="K90" s="48"/>
      <c r="L90" s="48"/>
      <c r="M90" s="374">
        <f>K90/(K90+G90)</f>
        <v>0</v>
      </c>
      <c r="N90" s="375">
        <f>D90*M90</f>
        <v>0</v>
      </c>
    </row>
    <row r="91" spans="1:14" ht="12.75">
      <c r="A91" s="28"/>
      <c r="B91" s="28"/>
      <c r="C91" s="304"/>
      <c r="D91" s="122"/>
      <c r="E91" s="304"/>
      <c r="F91" s="129"/>
      <c r="G91" s="300"/>
      <c r="H91" s="308"/>
      <c r="I91" s="309"/>
      <c r="J91" s="28"/>
      <c r="K91" s="129"/>
      <c r="L91" s="300"/>
      <c r="M91" s="131"/>
      <c r="N91" s="122"/>
    </row>
    <row r="92" spans="1:14" ht="12.75">
      <c r="A92" s="310" t="s">
        <v>430</v>
      </c>
      <c r="B92" s="311"/>
      <c r="C92" s="312"/>
      <c r="I92" s="309"/>
      <c r="J92" s="28"/>
      <c r="K92" s="129"/>
      <c r="L92" s="300"/>
      <c r="M92" s="131"/>
      <c r="N92" s="122"/>
    </row>
    <row r="93" spans="1:14" ht="12.75">
      <c r="A93" s="23" t="s">
        <v>152</v>
      </c>
      <c r="B93" s="21">
        <v>5E-06</v>
      </c>
      <c r="C93" s="6" t="s">
        <v>104</v>
      </c>
      <c r="I93" s="309"/>
      <c r="J93" s="28"/>
      <c r="K93" s="129"/>
      <c r="L93" s="300"/>
      <c r="M93" s="131"/>
      <c r="N93" s="122"/>
    </row>
    <row r="94" spans="1:14" ht="12.75">
      <c r="A94" s="23" t="s">
        <v>82</v>
      </c>
      <c r="B94" s="21">
        <v>1E-05</v>
      </c>
      <c r="C94" s="6" t="s">
        <v>104</v>
      </c>
      <c r="I94" s="309"/>
      <c r="J94" s="28"/>
      <c r="K94" s="129"/>
      <c r="L94" s="300"/>
      <c r="M94" s="131"/>
      <c r="N94" s="122"/>
    </row>
    <row r="95" spans="1:14" ht="12.75">
      <c r="A95" s="7"/>
      <c r="B95" s="7"/>
      <c r="C95" s="7"/>
      <c r="D95" s="16"/>
      <c r="F95" s="251"/>
      <c r="G95" s="35"/>
      <c r="H95" s="27"/>
      <c r="I95" s="309"/>
      <c r="J95" s="28"/>
      <c r="K95" s="129"/>
      <c r="L95" s="300"/>
      <c r="M95" s="131"/>
      <c r="N95" s="122"/>
    </row>
    <row r="96" spans="1:14" ht="12.75">
      <c r="A96" s="23" t="s">
        <v>352</v>
      </c>
      <c r="B96" s="21">
        <v>0.000225</v>
      </c>
      <c r="C96" s="6" t="s">
        <v>104</v>
      </c>
      <c r="D96" t="s">
        <v>353</v>
      </c>
      <c r="F96" s="251"/>
      <c r="G96" s="35"/>
      <c r="H96" s="27"/>
      <c r="I96" s="309"/>
      <c r="J96" s="28"/>
      <c r="K96" s="129"/>
      <c r="L96" s="300"/>
      <c r="M96" s="131"/>
      <c r="N96" s="122"/>
    </row>
    <row r="97" spans="1:14" ht="12.75">
      <c r="A97" s="23" t="s">
        <v>338</v>
      </c>
      <c r="B97" s="21">
        <v>1E-06</v>
      </c>
      <c r="C97" s="6" t="s">
        <v>104</v>
      </c>
      <c r="I97" s="309"/>
      <c r="J97" s="28"/>
      <c r="K97" s="129"/>
      <c r="L97" s="300"/>
      <c r="M97" s="131"/>
      <c r="N97" s="122"/>
    </row>
    <row r="98" spans="1:14" ht="12.75">
      <c r="A98" s="23" t="s">
        <v>346</v>
      </c>
      <c r="B98" s="21">
        <v>5.8182E-06</v>
      </c>
      <c r="C98" s="6" t="s">
        <v>104</v>
      </c>
      <c r="I98" s="309"/>
      <c r="J98" s="28"/>
      <c r="K98" s="129"/>
      <c r="L98" s="300"/>
      <c r="M98" s="131"/>
      <c r="N98" s="122"/>
    </row>
    <row r="99" spans="1:14" ht="12.75">
      <c r="A99" s="23" t="s">
        <v>439</v>
      </c>
      <c r="B99" s="21">
        <v>1.6E-05</v>
      </c>
      <c r="C99" s="6" t="s">
        <v>104</v>
      </c>
      <c r="D99" s="16">
        <v>8E-06</v>
      </c>
      <c r="E99" t="s">
        <v>425</v>
      </c>
      <c r="I99" s="309"/>
      <c r="J99" s="28"/>
      <c r="K99" s="129"/>
      <c r="L99" s="300"/>
      <c r="M99" s="131"/>
      <c r="N99" s="122"/>
    </row>
    <row r="100" spans="1:14" ht="12.75">
      <c r="A100" s="28"/>
      <c r="B100" s="28"/>
      <c r="C100" s="304"/>
      <c r="D100" s="122"/>
      <c r="E100" s="304"/>
      <c r="F100" s="129"/>
      <c r="G100" s="300"/>
      <c r="H100" s="308"/>
      <c r="I100" s="309"/>
      <c r="J100" s="28"/>
      <c r="K100" s="28"/>
      <c r="L100" s="28"/>
      <c r="M100" s="131"/>
      <c r="N100" s="122"/>
    </row>
    <row r="101" spans="1:14" ht="51.75" thickBot="1">
      <c r="A101" s="334" t="s">
        <v>334</v>
      </c>
      <c r="B101" s="335" t="s">
        <v>332</v>
      </c>
      <c r="C101" s="335" t="s">
        <v>415</v>
      </c>
      <c r="D101" s="335" t="s">
        <v>354</v>
      </c>
      <c r="E101" s="335" t="s">
        <v>416</v>
      </c>
      <c r="F101" s="335" t="s">
        <v>347</v>
      </c>
      <c r="G101" s="335" t="s">
        <v>348</v>
      </c>
      <c r="H101" s="335" t="s">
        <v>103</v>
      </c>
      <c r="I101" s="335" t="s">
        <v>355</v>
      </c>
      <c r="J101" s="335"/>
      <c r="K101" s="335" t="s">
        <v>331</v>
      </c>
      <c r="L101" s="335" t="s">
        <v>325</v>
      </c>
      <c r="M101" s="335" t="s">
        <v>333</v>
      </c>
      <c r="N101" s="336" t="s">
        <v>326</v>
      </c>
    </row>
    <row r="102" spans="1:14" ht="13.5" thickTop="1">
      <c r="A102" s="45" t="s">
        <v>431</v>
      </c>
      <c r="B102" s="304" t="s">
        <v>330</v>
      </c>
      <c r="C102" s="304">
        <v>512</v>
      </c>
      <c r="D102" s="319">
        <v>20000000</v>
      </c>
      <c r="E102" s="304">
        <f>C102*8</f>
        <v>4096</v>
      </c>
      <c r="F102" s="315">
        <f>3*E102/D102</f>
        <v>0.0006144</v>
      </c>
      <c r="G102" s="316">
        <f>($B$98+$B$93+$B$94+(2*$B$99)+((2*$G$11)+$G$12+(3*$G$14)+$G$13)/$D102)</f>
        <v>6.88182E-05</v>
      </c>
      <c r="H102" s="325">
        <f>F102/(F102+G102)</f>
        <v>0.8992734678320924</v>
      </c>
      <c r="I102" s="306">
        <f>D102*H102</f>
        <v>17985469.356641848</v>
      </c>
      <c r="J102" s="304"/>
      <c r="K102" s="205"/>
      <c r="L102" s="320"/>
      <c r="M102" s="321">
        <f>K102/(K102+G102)</f>
        <v>0</v>
      </c>
      <c r="N102" s="322">
        <f>D102*M102</f>
        <v>0</v>
      </c>
    </row>
    <row r="103" spans="1:14" ht="12.75">
      <c r="A103" s="45"/>
      <c r="B103" s="304" t="s">
        <v>327</v>
      </c>
      <c r="C103" s="304">
        <v>512</v>
      </c>
      <c r="D103" s="319">
        <v>20000000</v>
      </c>
      <c r="E103" s="304">
        <f>C103*8</f>
        <v>4096</v>
      </c>
      <c r="F103" s="315">
        <f>3*E103/D103</f>
        <v>0.0006144</v>
      </c>
      <c r="G103" s="316">
        <f>($B$98+$B$93+$B$94+(2*$B$99)+((2*$B$11)+$B$12+(3*$B$14)+$B$13)/$D103)</f>
        <v>6.65182E-05</v>
      </c>
      <c r="H103" s="325">
        <f>F103/(F103+G103)</f>
        <v>0.9023110264933439</v>
      </c>
      <c r="I103" s="306">
        <f>D103*H103</f>
        <v>18046220.529866878</v>
      </c>
      <c r="J103" s="304"/>
      <c r="K103" s="205"/>
      <c r="L103" s="320"/>
      <c r="M103" s="321">
        <f>K103/(K103+G103)</f>
        <v>0</v>
      </c>
      <c r="N103" s="322">
        <f>D103*M103</f>
        <v>0</v>
      </c>
    </row>
    <row r="104" spans="1:14" ht="12.75">
      <c r="A104" s="45"/>
      <c r="B104" s="304" t="s">
        <v>328</v>
      </c>
      <c r="C104" s="304">
        <v>512</v>
      </c>
      <c r="D104" s="319">
        <v>20000000</v>
      </c>
      <c r="E104" s="304">
        <f>C104*8</f>
        <v>4096</v>
      </c>
      <c r="F104" s="315">
        <f>3*E104/D104</f>
        <v>0.0006144</v>
      </c>
      <c r="G104" s="316">
        <f>($B$98+$B$93+$B$94+(2*$B$99)+((2*$K$11)+$K$12+(3*$K$14)+$K$13)/$D104)</f>
        <v>7.281820000000001E-05</v>
      </c>
      <c r="H104" s="325">
        <f>F104/(F104+G104)</f>
        <v>0.8940391858073609</v>
      </c>
      <c r="I104" s="306">
        <f>D104*H104</f>
        <v>17880783.716147218</v>
      </c>
      <c r="J104" s="304"/>
      <c r="K104" s="205"/>
      <c r="L104" s="320"/>
      <c r="M104" s="321">
        <f>K104/(K104+G104)</f>
        <v>0</v>
      </c>
      <c r="N104" s="322">
        <f>D104*M104</f>
        <v>0</v>
      </c>
    </row>
    <row r="105" spans="1:14" ht="12.75">
      <c r="A105" s="45"/>
      <c r="B105" s="304" t="s">
        <v>329</v>
      </c>
      <c r="C105" s="304">
        <v>512</v>
      </c>
      <c r="D105" s="319">
        <v>20000000</v>
      </c>
      <c r="E105" s="304">
        <f>C105*8</f>
        <v>4096</v>
      </c>
      <c r="F105" s="315">
        <f>3*E105/D105</f>
        <v>0.0006144</v>
      </c>
      <c r="G105" s="316">
        <f>(3*$B$94+2*$B$96+(5*$B$99)+((5*$G$15)+(3*$G$16)+(3*$G$17))/$D105)</f>
        <v>0.0006355999999999999</v>
      </c>
      <c r="H105" s="325">
        <f>F105/(F105+G105)</f>
        <v>0.49152000000000007</v>
      </c>
      <c r="I105" s="306">
        <f>D105*H105</f>
        <v>9830400.000000002</v>
      </c>
      <c r="J105" s="304"/>
      <c r="K105" s="304"/>
      <c r="L105" s="304"/>
      <c r="M105" s="321">
        <f>K105/(K105+G105)</f>
        <v>0</v>
      </c>
      <c r="N105" s="322">
        <f>D105*M105</f>
        <v>0</v>
      </c>
    </row>
    <row r="106" spans="1:14" ht="12.75">
      <c r="A106" s="45"/>
      <c r="B106" s="304"/>
      <c r="C106" s="304"/>
      <c r="D106" s="304"/>
      <c r="E106" s="304"/>
      <c r="F106" s="315"/>
      <c r="G106" s="316"/>
      <c r="H106" s="328"/>
      <c r="I106" s="304"/>
      <c r="J106" s="304"/>
      <c r="K106" s="304"/>
      <c r="L106" s="304"/>
      <c r="M106" s="304"/>
      <c r="N106" s="323"/>
    </row>
    <row r="107" spans="1:14" ht="12.75">
      <c r="A107" s="45"/>
      <c r="B107" s="304" t="s">
        <v>330</v>
      </c>
      <c r="C107" s="304">
        <v>1514</v>
      </c>
      <c r="D107" s="319">
        <v>20000000</v>
      </c>
      <c r="E107" s="304">
        <f>C107*8</f>
        <v>12112</v>
      </c>
      <c r="F107" s="315">
        <f>3*E107/D107</f>
        <v>0.0018168</v>
      </c>
      <c r="G107" s="316">
        <f>($B$98+$B$93+$B$94+(2*$B$99)+((2*$G$11)+$G$12+(3*$G$14)+$G$13)/$D107)</f>
        <v>6.88182E-05</v>
      </c>
      <c r="H107" s="325">
        <f>F107/(F107+G107)</f>
        <v>0.963503640344583</v>
      </c>
      <c r="I107" s="306">
        <f>D107*H107</f>
        <v>19270072.80689166</v>
      </c>
      <c r="J107" s="304"/>
      <c r="K107" s="205"/>
      <c r="L107" s="320"/>
      <c r="M107" s="321">
        <f>K107/(K107+G107)</f>
        <v>0</v>
      </c>
      <c r="N107" s="322">
        <f>D107*M107</f>
        <v>0</v>
      </c>
    </row>
    <row r="108" spans="1:14" ht="12.75">
      <c r="A108" s="45"/>
      <c r="B108" s="304" t="s">
        <v>327</v>
      </c>
      <c r="C108" s="304">
        <v>1514</v>
      </c>
      <c r="D108" s="319">
        <v>20000000</v>
      </c>
      <c r="E108" s="304">
        <f>C108*8</f>
        <v>12112</v>
      </c>
      <c r="F108" s="315">
        <f>3*E108/D108</f>
        <v>0.0018168</v>
      </c>
      <c r="G108" s="316">
        <f>($B$98+$B$93+$B$94+(2*$B$99)+((2*$B$11)+$B$12+(3*$B$14)+$B$13)/$D108)</f>
        <v>6.65182E-05</v>
      </c>
      <c r="H108" s="325">
        <f>F108/(F108+G108)</f>
        <v>0.9646803179622009</v>
      </c>
      <c r="I108" s="306">
        <f>D108*H108</f>
        <v>19293606.35924402</v>
      </c>
      <c r="J108" s="304"/>
      <c r="K108" s="205"/>
      <c r="L108" s="320"/>
      <c r="M108" s="321">
        <f>K108/(K108+G108)</f>
        <v>0</v>
      </c>
      <c r="N108" s="322">
        <f>D108*M108</f>
        <v>0</v>
      </c>
    </row>
    <row r="109" spans="1:14" ht="12.75">
      <c r="A109" s="45"/>
      <c r="B109" s="304" t="s">
        <v>328</v>
      </c>
      <c r="C109" s="304">
        <v>1514</v>
      </c>
      <c r="D109" s="319">
        <v>20000000</v>
      </c>
      <c r="E109" s="304">
        <f>C109*8</f>
        <v>12112</v>
      </c>
      <c r="F109" s="315">
        <f>3*E109/D109</f>
        <v>0.0018168</v>
      </c>
      <c r="G109" s="316">
        <f>($B$98+$B$93+$B$94+(2*$B$99)+((2*$K$11)+$K$12+(3*$K$14)+$K$13)/$D109)</f>
        <v>7.281820000000001E-05</v>
      </c>
      <c r="H109" s="325">
        <f>F109/(F109+G109)</f>
        <v>0.9614640671856357</v>
      </c>
      <c r="I109" s="306">
        <f>D109*H109</f>
        <v>19229281.343712714</v>
      </c>
      <c r="J109" s="304"/>
      <c r="K109" s="205"/>
      <c r="L109" s="320"/>
      <c r="M109" s="321">
        <f>K109/(K109+G109)</f>
        <v>0</v>
      </c>
      <c r="N109" s="322">
        <f>D109*M109</f>
        <v>0</v>
      </c>
    </row>
    <row r="110" spans="1:14" ht="12.75">
      <c r="A110" s="45"/>
      <c r="B110" s="304" t="s">
        <v>329</v>
      </c>
      <c r="C110" s="304">
        <v>1514</v>
      </c>
      <c r="D110" s="319">
        <v>20000000</v>
      </c>
      <c r="E110" s="304">
        <f>C110*8</f>
        <v>12112</v>
      </c>
      <c r="F110" s="315">
        <f>3*E110/D110</f>
        <v>0.0018168</v>
      </c>
      <c r="G110" s="316">
        <f>(3*$B$94+2*$B$96+(5*$B$99)+((5*$G$15)+(3*$G$16)+(3*$G$17))/$D110)</f>
        <v>0.0006355999999999999</v>
      </c>
      <c r="H110" s="325">
        <f>F110/(F110+G110)</f>
        <v>0.7408253139781439</v>
      </c>
      <c r="I110" s="306">
        <f>D110*H110</f>
        <v>14816506.279562877</v>
      </c>
      <c r="J110" s="304"/>
      <c r="K110" s="304"/>
      <c r="L110" s="304"/>
      <c r="M110" s="321">
        <f>K110/(K110+G110)</f>
        <v>0</v>
      </c>
      <c r="N110" s="322">
        <f>D110*M110</f>
        <v>0</v>
      </c>
    </row>
    <row r="111" spans="1:14" ht="12.75">
      <c r="A111" s="45"/>
      <c r="B111" s="304"/>
      <c r="C111" s="304"/>
      <c r="D111" s="319"/>
      <c r="E111" s="304"/>
      <c r="F111" s="315"/>
      <c r="G111" s="316"/>
      <c r="H111" s="327"/>
      <c r="I111" s="309"/>
      <c r="J111" s="304"/>
      <c r="K111" s="304"/>
      <c r="L111" s="304"/>
      <c r="M111" s="321"/>
      <c r="N111" s="322"/>
    </row>
    <row r="112" spans="1:14" ht="12.75">
      <c r="A112" s="45"/>
      <c r="B112" s="304" t="s">
        <v>330</v>
      </c>
      <c r="C112" s="304">
        <v>512</v>
      </c>
      <c r="D112" s="319">
        <v>40000000</v>
      </c>
      <c r="E112" s="304">
        <f>C112*8</f>
        <v>4096</v>
      </c>
      <c r="F112" s="315">
        <f>3*E112/D112</f>
        <v>0.0003072</v>
      </c>
      <c r="G112" s="316">
        <f>($B$98+$B$93+$B$94+(2*$D$99)+((2*$G$11)+$G$12+(3*$G$14)+$G$13)/$D112)</f>
        <v>4.48182E-05</v>
      </c>
      <c r="H112" s="325">
        <f>F112/(F112+G112)</f>
        <v>0.8726821510933243</v>
      </c>
      <c r="I112" s="306">
        <f>D112*H112</f>
        <v>34907286.04373297</v>
      </c>
      <c r="J112" s="304"/>
      <c r="K112" s="205"/>
      <c r="L112" s="320"/>
      <c r="M112" s="321">
        <f>K112/(K112+G112)</f>
        <v>0</v>
      </c>
      <c r="N112" s="322">
        <f>D112*M112</f>
        <v>0</v>
      </c>
    </row>
    <row r="113" spans="1:14" ht="12.75">
      <c r="A113" s="45"/>
      <c r="B113" s="304" t="s">
        <v>327</v>
      </c>
      <c r="C113" s="304">
        <v>512</v>
      </c>
      <c r="D113" s="319">
        <v>40000000</v>
      </c>
      <c r="E113" s="304">
        <f>C113*8</f>
        <v>4096</v>
      </c>
      <c r="F113" s="315">
        <f>3*E113/D113</f>
        <v>0.0003072</v>
      </c>
      <c r="G113" s="316">
        <f>($B$98+$B$93+$B$94+(2*$D$99)+((2*$B$11)+$B$12+(3*$B$14)+$B$13)/$D113)</f>
        <v>4.3668199999999996E-05</v>
      </c>
      <c r="H113" s="325">
        <f>F113/(F113+G113)</f>
        <v>0.8755424401527412</v>
      </c>
      <c r="I113" s="306">
        <f>D113*H113</f>
        <v>35021697.60610965</v>
      </c>
      <c r="J113" s="304"/>
      <c r="K113" s="205"/>
      <c r="L113" s="320"/>
      <c r="M113" s="321">
        <f>K113/(K113+G113)</f>
        <v>0</v>
      </c>
      <c r="N113" s="322">
        <f>D113*M113</f>
        <v>0</v>
      </c>
    </row>
    <row r="114" spans="1:14" ht="12.75">
      <c r="A114" s="45"/>
      <c r="B114" s="304" t="s">
        <v>328</v>
      </c>
      <c r="C114" s="304">
        <v>512</v>
      </c>
      <c r="D114" s="319">
        <v>40000000</v>
      </c>
      <c r="E114" s="304">
        <f>C114*8</f>
        <v>4096</v>
      </c>
      <c r="F114" s="315">
        <f>3*E114/D114</f>
        <v>0.0003072</v>
      </c>
      <c r="G114" s="316">
        <f>($B$98+$B$93+$B$94+(2*$D$99)+((2*$K$11)+$K$12+(3*$K$14)+$K$13)/$D114)</f>
        <v>4.68182E-05</v>
      </c>
      <c r="H114" s="325">
        <f>F114/(F114+G114)</f>
        <v>0.8677519969312313</v>
      </c>
      <c r="I114" s="306">
        <f>D114*H114</f>
        <v>34710079.87724925</v>
      </c>
      <c r="J114" s="304"/>
      <c r="K114" s="205"/>
      <c r="L114" s="320"/>
      <c r="M114" s="321">
        <f>K114/(K114+G114)</f>
        <v>0</v>
      </c>
      <c r="N114" s="322">
        <f>D114*M114</f>
        <v>0</v>
      </c>
    </row>
    <row r="115" spans="1:14" ht="12.75">
      <c r="A115" s="45"/>
      <c r="B115" s="304" t="s">
        <v>329</v>
      </c>
      <c r="C115" s="304">
        <v>512</v>
      </c>
      <c r="D115" s="319">
        <v>40000000</v>
      </c>
      <c r="E115" s="304">
        <f>C115*8</f>
        <v>4096</v>
      </c>
      <c r="F115" s="315">
        <f>3*E115/D115</f>
        <v>0.0003072</v>
      </c>
      <c r="G115" s="316">
        <f>(3*$B$94+2*$B$96+(5*$D$99)+((5*$G$15)+(3*$G$16)+(3*$G$17))/$D115)</f>
        <v>0.0005578</v>
      </c>
      <c r="H115" s="325">
        <f>F115/(F115+G115)</f>
        <v>0.3551445086705202</v>
      </c>
      <c r="I115" s="306">
        <f>D115*H115</f>
        <v>14205780.346820809</v>
      </c>
      <c r="J115" s="304"/>
      <c r="K115" s="304"/>
      <c r="L115" s="304"/>
      <c r="M115" s="321">
        <f>K115/(K115+G115)</f>
        <v>0</v>
      </c>
      <c r="N115" s="322">
        <f>D115*M115</f>
        <v>0</v>
      </c>
    </row>
    <row r="116" spans="1:14" ht="12.75">
      <c r="A116" s="45"/>
      <c r="B116" s="304"/>
      <c r="C116" s="304"/>
      <c r="D116" s="304"/>
      <c r="E116" s="304"/>
      <c r="F116" s="315"/>
      <c r="G116" s="316"/>
      <c r="H116" s="328"/>
      <c r="I116" s="304"/>
      <c r="J116" s="304"/>
      <c r="K116" s="304"/>
      <c r="L116" s="304"/>
      <c r="M116" s="304"/>
      <c r="N116" s="323"/>
    </row>
    <row r="117" spans="1:14" ht="12.75">
      <c r="A117" s="45"/>
      <c r="B117" s="304" t="s">
        <v>330</v>
      </c>
      <c r="C117" s="304">
        <v>1514</v>
      </c>
      <c r="D117" s="319">
        <v>40000000</v>
      </c>
      <c r="E117" s="304">
        <f>C117*8</f>
        <v>12112</v>
      </c>
      <c r="F117" s="315">
        <f>3*E117/D117</f>
        <v>0.0009084</v>
      </c>
      <c r="G117" s="316">
        <f>($B$98+$B$93+$B$94+(2*$D$99)+((2*$G$11)+$G$12+(3*$G$14)+$G$13)/$D117)</f>
        <v>4.48182E-05</v>
      </c>
      <c r="H117" s="325">
        <f>F117/(F117+G117)</f>
        <v>0.9529822237972376</v>
      </c>
      <c r="I117" s="306">
        <f>D117*H117</f>
        <v>38119288.95188951</v>
      </c>
      <c r="J117" s="304"/>
      <c r="K117" s="205"/>
      <c r="L117" s="320"/>
      <c r="M117" s="321">
        <f>K117/(K117+G117)</f>
        <v>0</v>
      </c>
      <c r="N117" s="322">
        <f>D117*M117</f>
        <v>0</v>
      </c>
    </row>
    <row r="118" spans="1:14" ht="12.75">
      <c r="A118" s="45"/>
      <c r="B118" s="304" t="s">
        <v>327</v>
      </c>
      <c r="C118" s="304">
        <v>1514</v>
      </c>
      <c r="D118" s="319">
        <v>40000000</v>
      </c>
      <c r="E118" s="304">
        <f>C118*8</f>
        <v>12112</v>
      </c>
      <c r="F118" s="315">
        <f>3*E118/D118</f>
        <v>0.0009084</v>
      </c>
      <c r="G118" s="316">
        <f>($B$98+$B$93+$B$94+(2*$D$99)+((2*$B$11)+$B$12+(3*$B$14)+$B$13)/$D118)</f>
        <v>4.3668199999999996E-05</v>
      </c>
      <c r="H118" s="325">
        <f>F118/(F118+G118)</f>
        <v>0.9541333278435306</v>
      </c>
      <c r="I118" s="306">
        <f>D118*H118</f>
        <v>38165333.11374122</v>
      </c>
      <c r="J118" s="304"/>
      <c r="K118" s="205"/>
      <c r="L118" s="320"/>
      <c r="M118" s="321">
        <f>K118/(K118+G118)</f>
        <v>0</v>
      </c>
      <c r="N118" s="322">
        <f>D118*M118</f>
        <v>0</v>
      </c>
    </row>
    <row r="119" spans="1:14" ht="12.75">
      <c r="A119" s="45"/>
      <c r="B119" s="304" t="s">
        <v>328</v>
      </c>
      <c r="C119" s="304">
        <v>1514</v>
      </c>
      <c r="D119" s="319">
        <v>40000000</v>
      </c>
      <c r="E119" s="304">
        <f>C119*8</f>
        <v>12112</v>
      </c>
      <c r="F119" s="315">
        <f>3*E119/D119</f>
        <v>0.0009084</v>
      </c>
      <c r="G119" s="316">
        <f>($B$98+$B$93+$B$94+(2*$D$99)+((2*$K$11)+$K$12+(3*$K$14)+$K$13)/$D119)</f>
        <v>4.68182E-05</v>
      </c>
      <c r="H119" s="325">
        <f>F119/(F119+G119)</f>
        <v>0.9509869054002531</v>
      </c>
      <c r="I119" s="306">
        <f>D119*H119</f>
        <v>38039476.21601012</v>
      </c>
      <c r="J119" s="304"/>
      <c r="K119" s="205"/>
      <c r="L119" s="320"/>
      <c r="M119" s="321">
        <f>K119/(K119+G119)</f>
        <v>0</v>
      </c>
      <c r="N119" s="322">
        <f>D119*M119</f>
        <v>0</v>
      </c>
    </row>
    <row r="120" spans="1:14" ht="12.75">
      <c r="A120" s="236"/>
      <c r="B120" s="305" t="s">
        <v>329</v>
      </c>
      <c r="C120" s="305">
        <v>1514</v>
      </c>
      <c r="D120" s="324">
        <v>40000000</v>
      </c>
      <c r="E120" s="305">
        <f>C120*8</f>
        <v>12112</v>
      </c>
      <c r="F120" s="318">
        <f>3*E120/D120</f>
        <v>0.0009084</v>
      </c>
      <c r="G120" s="317">
        <f>(3*$B$94+2*$B$96+(5*$D$99)+((5*$G$15)+(3*$G$16)+(3*$G$17))/$D120)</f>
        <v>0.0005578</v>
      </c>
      <c r="H120" s="326">
        <f>F120/(F120+G120)</f>
        <v>0.6195607693356977</v>
      </c>
      <c r="I120" s="307">
        <f>D120*H120</f>
        <v>24782430.773427907</v>
      </c>
      <c r="J120" s="305"/>
      <c r="K120" s="305"/>
      <c r="L120" s="305"/>
      <c r="M120" s="376">
        <f>K120/(K120+G120)</f>
        <v>0</v>
      </c>
      <c r="N120" s="377">
        <f>D120*M120</f>
        <v>0</v>
      </c>
    </row>
    <row r="121" spans="1:14" ht="12.75">
      <c r="A121" s="28"/>
      <c r="B121" s="28"/>
      <c r="C121" s="28"/>
      <c r="D121" s="122"/>
      <c r="E121" s="28"/>
      <c r="F121" s="129"/>
      <c r="G121" s="300"/>
      <c r="H121" s="235"/>
      <c r="I121" s="106"/>
      <c r="J121" s="28"/>
      <c r="K121" s="28"/>
      <c r="L121" s="28"/>
      <c r="M121" s="131"/>
      <c r="N121" s="122"/>
    </row>
    <row r="122" spans="1:14" ht="12.75">
      <c r="A122" s="310" t="s">
        <v>445</v>
      </c>
      <c r="B122" s="311"/>
      <c r="C122" s="312"/>
      <c r="I122" s="309"/>
      <c r="J122" s="28"/>
      <c r="K122" s="129"/>
      <c r="L122" s="300"/>
      <c r="M122" s="131"/>
      <c r="N122" s="122"/>
    </row>
    <row r="123" spans="1:14" ht="12.75">
      <c r="A123" s="23" t="s">
        <v>152</v>
      </c>
      <c r="B123" s="21">
        <v>5E-06</v>
      </c>
      <c r="C123" s="6" t="s">
        <v>104</v>
      </c>
      <c r="D123" s="16"/>
      <c r="I123" s="309"/>
      <c r="J123" s="28"/>
      <c r="K123" s="129"/>
      <c r="L123" s="300"/>
      <c r="M123" s="131"/>
      <c r="N123" s="122"/>
    </row>
    <row r="124" spans="1:14" ht="12.75">
      <c r="A124" s="23" t="s">
        <v>82</v>
      </c>
      <c r="B124" s="21">
        <v>1E-05</v>
      </c>
      <c r="C124" s="6" t="s">
        <v>104</v>
      </c>
      <c r="I124" s="309"/>
      <c r="J124" s="28"/>
      <c r="K124" s="129"/>
      <c r="L124" s="300"/>
      <c r="M124" s="131"/>
      <c r="N124" s="122"/>
    </row>
    <row r="125" spans="1:14" ht="12.75">
      <c r="A125" s="7"/>
      <c r="B125" s="7"/>
      <c r="C125" s="7"/>
      <c r="F125" s="251"/>
      <c r="G125" s="35"/>
      <c r="H125" s="27"/>
      <c r="I125" s="309"/>
      <c r="J125" s="28"/>
      <c r="K125" s="129"/>
      <c r="L125" s="300"/>
      <c r="M125" s="131"/>
      <c r="N125" s="122"/>
    </row>
    <row r="126" spans="1:14" ht="12.75">
      <c r="A126" s="107" t="s">
        <v>352</v>
      </c>
      <c r="B126" s="119">
        <v>3E-05</v>
      </c>
      <c r="C126" s="7" t="s">
        <v>104</v>
      </c>
      <c r="F126" s="251"/>
      <c r="G126" s="35"/>
      <c r="H126" s="27"/>
      <c r="I126" s="309"/>
      <c r="J126" s="28"/>
      <c r="K126" s="129"/>
      <c r="L126" s="300"/>
      <c r="M126" s="131"/>
      <c r="N126" s="122"/>
    </row>
    <row r="127" spans="1:14" ht="12.75">
      <c r="A127" s="23" t="s">
        <v>338</v>
      </c>
      <c r="B127" s="21">
        <v>1E-06</v>
      </c>
      <c r="C127" s="6" t="s">
        <v>104</v>
      </c>
      <c r="I127" s="309"/>
      <c r="J127" s="28"/>
      <c r="K127" s="129"/>
      <c r="L127" s="300"/>
      <c r="M127" s="131"/>
      <c r="N127" s="122"/>
    </row>
    <row r="128" spans="1:14" ht="12.75">
      <c r="A128" s="23" t="s">
        <v>346</v>
      </c>
      <c r="B128" s="21">
        <v>5.8182E-06</v>
      </c>
      <c r="C128" s="6" t="s">
        <v>104</v>
      </c>
      <c r="I128" s="309"/>
      <c r="J128" s="28"/>
      <c r="K128" s="129"/>
      <c r="L128" s="300"/>
      <c r="M128" s="131"/>
      <c r="N128" s="122"/>
    </row>
    <row r="129" spans="1:14" ht="12.75">
      <c r="A129" s="23" t="s">
        <v>440</v>
      </c>
      <c r="B129" s="21">
        <v>2.3E-05</v>
      </c>
      <c r="C129" s="6" t="s">
        <v>104</v>
      </c>
      <c r="I129" s="309"/>
      <c r="J129" s="28"/>
      <c r="K129" s="129"/>
      <c r="L129" s="300"/>
      <c r="M129" s="131"/>
      <c r="N129" s="122"/>
    </row>
    <row r="130" spans="1:14" ht="12.75">
      <c r="A130" s="28"/>
      <c r="B130" s="122"/>
      <c r="C130" s="28"/>
      <c r="D130" s="122"/>
      <c r="E130" s="28"/>
      <c r="F130" s="129"/>
      <c r="G130" s="300"/>
      <c r="H130" s="235"/>
      <c r="I130" s="106"/>
      <c r="J130" s="28"/>
      <c r="K130" s="28"/>
      <c r="L130" s="28"/>
      <c r="M130" s="131"/>
      <c r="N130" s="122"/>
    </row>
    <row r="131" spans="1:14" ht="51.75" thickBot="1">
      <c r="A131" s="334" t="s">
        <v>334</v>
      </c>
      <c r="B131" s="335" t="s">
        <v>332</v>
      </c>
      <c r="C131" s="335" t="s">
        <v>415</v>
      </c>
      <c r="D131" s="335" t="s">
        <v>354</v>
      </c>
      <c r="E131" s="335" t="s">
        <v>416</v>
      </c>
      <c r="F131" s="335" t="s">
        <v>347</v>
      </c>
      <c r="G131" s="335" t="s">
        <v>348</v>
      </c>
      <c r="H131" s="335" t="s">
        <v>103</v>
      </c>
      <c r="I131" s="335" t="s">
        <v>355</v>
      </c>
      <c r="J131" s="335"/>
      <c r="K131" s="335" t="s">
        <v>331</v>
      </c>
      <c r="L131" s="335" t="s">
        <v>325</v>
      </c>
      <c r="M131" s="335" t="s">
        <v>333</v>
      </c>
      <c r="N131" s="336" t="s">
        <v>326</v>
      </c>
    </row>
    <row r="132" spans="1:14" ht="13.5" thickTop="1">
      <c r="A132" s="45" t="s">
        <v>432</v>
      </c>
      <c r="B132" s="28" t="s">
        <v>330</v>
      </c>
      <c r="C132" s="304">
        <v>512</v>
      </c>
      <c r="D132" s="122">
        <v>22000000</v>
      </c>
      <c r="E132" s="304">
        <f>C132*8</f>
        <v>4096</v>
      </c>
      <c r="F132" s="315">
        <f>3*E132/D132</f>
        <v>0.0005585454545454546</v>
      </c>
      <c r="G132" s="316">
        <f>($B$128+$B$123+$B$124+(2*$B$129)+((2*$G$11)+$G$12+(3*$G$14)+$G$13)/$D132)</f>
        <v>8.136365454545454E-05</v>
      </c>
      <c r="H132" s="325">
        <f>F132/(F132+G132)</f>
        <v>0.8728512324804311</v>
      </c>
      <c r="I132" s="306">
        <f>D132*H132</f>
        <v>19202727.114569485</v>
      </c>
      <c r="J132" s="28"/>
      <c r="K132" s="129"/>
      <c r="L132" s="43"/>
      <c r="M132" s="131">
        <f>K132/(K132+G132)</f>
        <v>0</v>
      </c>
      <c r="N132" s="299">
        <f>D132*M132</f>
        <v>0</v>
      </c>
    </row>
    <row r="133" spans="1:14" ht="12.75">
      <c r="A133" s="45"/>
      <c r="B133" s="28" t="s">
        <v>327</v>
      </c>
      <c r="C133" s="304">
        <v>512</v>
      </c>
      <c r="D133" s="122">
        <v>22000000</v>
      </c>
      <c r="E133" s="304">
        <f>C133*8</f>
        <v>4096</v>
      </c>
      <c r="F133" s="315">
        <f>3*E133/D133</f>
        <v>0.0005585454545454546</v>
      </c>
      <c r="G133" s="316">
        <f>($B$128+$B$123+$B$124+(2*$B$129)+((2*$B$11)+$B$12+(3*$B$14)+$B$13)/$D133)</f>
        <v>7.927274545454545E-05</v>
      </c>
      <c r="H133" s="325">
        <f>F133/(F133+G133)</f>
        <v>0.8757126318211906</v>
      </c>
      <c r="I133" s="306">
        <f>D133*H133</f>
        <v>19265677.900066193</v>
      </c>
      <c r="J133" s="28"/>
      <c r="K133" s="129"/>
      <c r="L133" s="43"/>
      <c r="M133" s="131">
        <f>K133/(K133+G133)</f>
        <v>0</v>
      </c>
      <c r="N133" s="299">
        <f>D133*M133</f>
        <v>0</v>
      </c>
    </row>
    <row r="134" spans="1:14" ht="12.75">
      <c r="A134" s="45"/>
      <c r="B134" s="28" t="s">
        <v>328</v>
      </c>
      <c r="C134" s="304">
        <v>512</v>
      </c>
      <c r="D134" s="122">
        <v>22000000</v>
      </c>
      <c r="E134" s="304">
        <f>C134*8</f>
        <v>4096</v>
      </c>
      <c r="F134" s="315">
        <f>3*E134/D134</f>
        <v>0.0005585454545454546</v>
      </c>
      <c r="G134" s="316">
        <f>($B$128+$B$123+$B$124+(2*$B$129)+((2*$K$11)+$K$12+(3*$K$14)+$K$13)/$D134)</f>
        <v>8.500001818181817E-05</v>
      </c>
      <c r="H134" s="325">
        <f>F134/(F134+G134)</f>
        <v>0.8679191731058293</v>
      </c>
      <c r="I134" s="306">
        <f>D134*H134</f>
        <v>19094221.808328245</v>
      </c>
      <c r="J134" s="28"/>
      <c r="K134" s="129"/>
      <c r="L134" s="43"/>
      <c r="M134" s="131">
        <f>K134/(K134+G134)</f>
        <v>0</v>
      </c>
      <c r="N134" s="299">
        <f>D134*M134</f>
        <v>0</v>
      </c>
    </row>
    <row r="135" spans="1:14" ht="12.75">
      <c r="A135" s="45"/>
      <c r="B135" s="28" t="s">
        <v>329</v>
      </c>
      <c r="C135" s="304">
        <v>512</v>
      </c>
      <c r="D135" s="122">
        <v>22000000</v>
      </c>
      <c r="E135" s="304">
        <f>C135*8</f>
        <v>4096</v>
      </c>
      <c r="F135" s="315">
        <f>3*E135/D135</f>
        <v>0.0005585454545454546</v>
      </c>
      <c r="G135" s="316">
        <f>(3*$B$124+2*$B$126+(5*$B$129)+((5*$G$15)+(3*$G$16)+(3*$G$17))/$D135)</f>
        <v>0.0002737272727272727</v>
      </c>
      <c r="H135" s="325">
        <f>F135/(F135+G135)</f>
        <v>0.6711086837793556</v>
      </c>
      <c r="I135" s="306">
        <f>D135*H135</f>
        <v>14764391.043145824</v>
      </c>
      <c r="J135" s="28"/>
      <c r="K135" s="28"/>
      <c r="L135" s="28"/>
      <c r="M135" s="131">
        <f>K135/(K135+G135)</f>
        <v>0</v>
      </c>
      <c r="N135" s="299">
        <f>D135*M135</f>
        <v>0</v>
      </c>
    </row>
    <row r="136" spans="1:14" ht="12.75">
      <c r="A136" s="45"/>
      <c r="B136" s="28"/>
      <c r="C136" s="304"/>
      <c r="D136" s="28"/>
      <c r="E136" s="304"/>
      <c r="F136" s="315"/>
      <c r="G136" s="316"/>
      <c r="H136" s="328"/>
      <c r="I136" s="304"/>
      <c r="J136" s="28"/>
      <c r="K136" s="28"/>
      <c r="L136" s="28"/>
      <c r="M136" s="28"/>
      <c r="N136" s="46"/>
    </row>
    <row r="137" spans="1:14" ht="12.75">
      <c r="A137" s="45"/>
      <c r="B137" s="28" t="s">
        <v>330</v>
      </c>
      <c r="C137" s="304">
        <v>1514</v>
      </c>
      <c r="D137" s="122">
        <v>22000000</v>
      </c>
      <c r="E137" s="304">
        <f>C137*8</f>
        <v>12112</v>
      </c>
      <c r="F137" s="315">
        <f>3*E137/D137</f>
        <v>0.0016516363636363636</v>
      </c>
      <c r="G137" s="316">
        <f>($B$128+$B$123+$B$124+(2*$B$129)+((2*$G$11)+$G$12+(3*$G$14)+$G$13)/$D137)</f>
        <v>8.136365454545454E-05</v>
      </c>
      <c r="H137" s="325">
        <f>F137/(F137+G137)</f>
        <v>0.9530504017935225</v>
      </c>
      <c r="I137" s="306">
        <f>D137*H137</f>
        <v>20967108.839457497</v>
      </c>
      <c r="J137" s="28"/>
      <c r="K137" s="129"/>
      <c r="L137" s="43"/>
      <c r="M137" s="131">
        <f>K137/(K137+G137)</f>
        <v>0</v>
      </c>
      <c r="N137" s="299">
        <f>D137*M137</f>
        <v>0</v>
      </c>
    </row>
    <row r="138" spans="1:14" ht="12.75">
      <c r="A138" s="45"/>
      <c r="B138" s="28" t="s">
        <v>327</v>
      </c>
      <c r="C138" s="304">
        <v>1514</v>
      </c>
      <c r="D138" s="122">
        <v>22000000</v>
      </c>
      <c r="E138" s="304">
        <f>C138*8</f>
        <v>12112</v>
      </c>
      <c r="F138" s="315">
        <f>3*E138/D138</f>
        <v>0.0016516363636363636</v>
      </c>
      <c r="G138" s="316">
        <f>($B$128+$B$123+$B$124+(2*$B$129)+((2*$B$11)+$B$12+(3*$B$14)+$B$13)/$D138)</f>
        <v>7.927274545454545E-05</v>
      </c>
      <c r="H138" s="325">
        <f>F138/(F138+G138)</f>
        <v>0.9542016706491421</v>
      </c>
      <c r="I138" s="306">
        <f>D138*H138</f>
        <v>20992436.754281126</v>
      </c>
      <c r="J138" s="28"/>
      <c r="K138" s="129"/>
      <c r="L138" s="43"/>
      <c r="M138" s="131">
        <f>K138/(K138+G138)</f>
        <v>0</v>
      </c>
      <c r="N138" s="299">
        <f>D138*M138</f>
        <v>0</v>
      </c>
    </row>
    <row r="139" spans="1:14" ht="12.75">
      <c r="A139" s="45"/>
      <c r="B139" s="28" t="s">
        <v>328</v>
      </c>
      <c r="C139" s="304">
        <v>1514</v>
      </c>
      <c r="D139" s="122">
        <v>22000000</v>
      </c>
      <c r="E139" s="304">
        <f>C139*8</f>
        <v>12112</v>
      </c>
      <c r="F139" s="315">
        <f>3*E139/D139</f>
        <v>0.0016516363636363636</v>
      </c>
      <c r="G139" s="316">
        <f>($B$128+$B$123+$B$124+(2*$B$129)+((2*$K$11)+$K$12+(3*$K$14)+$K$13)/$D139)</f>
        <v>8.500001818181817E-05</v>
      </c>
      <c r="H139" s="325">
        <f>F139/(F139+G139)</f>
        <v>0.9510547981881924</v>
      </c>
      <c r="I139" s="306">
        <f>D139*H139</f>
        <v>20923205.560140233</v>
      </c>
      <c r="J139" s="28"/>
      <c r="K139" s="129"/>
      <c r="L139" s="43"/>
      <c r="M139" s="131">
        <f>K139/(K139+G139)</f>
        <v>0</v>
      </c>
      <c r="N139" s="299">
        <f>D139*M139</f>
        <v>0</v>
      </c>
    </row>
    <row r="140" spans="1:14" ht="12.75">
      <c r="A140" s="45"/>
      <c r="B140" s="28" t="s">
        <v>329</v>
      </c>
      <c r="C140" s="304">
        <v>1514</v>
      </c>
      <c r="D140" s="122">
        <v>22000000</v>
      </c>
      <c r="E140" s="304">
        <f>C140*8</f>
        <v>12112</v>
      </c>
      <c r="F140" s="315">
        <f>3*E140/D140</f>
        <v>0.0016516363636363636</v>
      </c>
      <c r="G140" s="316">
        <f>(3*$B$124+2*$B$126+(5*$B$129)+((5*$G$15)+(3*$G$16)+(3*$G$17))/$D140)</f>
        <v>0.0002737272727272727</v>
      </c>
      <c r="H140" s="325">
        <f>F140/(F140+G140)</f>
        <v>0.8578308702016149</v>
      </c>
      <c r="I140" s="306">
        <f>D140*H140</f>
        <v>18872279.14443553</v>
      </c>
      <c r="J140" s="28"/>
      <c r="K140" s="28"/>
      <c r="L140" s="28"/>
      <c r="M140" s="131">
        <f>K140/(K140+G140)</f>
        <v>0</v>
      </c>
      <c r="N140" s="299">
        <f>D140*M140</f>
        <v>0</v>
      </c>
    </row>
    <row r="141" spans="1:14" ht="12.75">
      <c r="A141" s="45"/>
      <c r="B141" s="28"/>
      <c r="C141" s="304"/>
      <c r="D141" s="122"/>
      <c r="E141" s="304"/>
      <c r="F141" s="315"/>
      <c r="G141" s="316"/>
      <c r="H141" s="327"/>
      <c r="I141" s="309"/>
      <c r="J141" s="28"/>
      <c r="K141" s="28"/>
      <c r="L141" s="28"/>
      <c r="M141" s="131"/>
      <c r="N141" s="299"/>
    </row>
    <row r="142" spans="1:14" ht="12.75">
      <c r="A142" s="45"/>
      <c r="B142" s="28" t="s">
        <v>330</v>
      </c>
      <c r="C142" s="304">
        <v>512</v>
      </c>
      <c r="D142" s="122">
        <v>33000000</v>
      </c>
      <c r="E142" s="304">
        <f>C142*8</f>
        <v>4096</v>
      </c>
      <c r="F142" s="315">
        <f>3*E142/D142</f>
        <v>0.0003723636363636364</v>
      </c>
      <c r="G142" s="316">
        <f>($B$128+$B$123+$B$124+(2*$B$129)+((2*$G$11)+$G$12+(3*$G$14)+$G$13)/$D142)</f>
        <v>7.65151696969697E-05</v>
      </c>
      <c r="H142" s="325">
        <f>F142/(F142+G142)</f>
        <v>0.8295415852477587</v>
      </c>
      <c r="I142" s="306">
        <f>D142*H142</f>
        <v>27374872.313176036</v>
      </c>
      <c r="J142" s="28"/>
      <c r="K142" s="129"/>
      <c r="L142" s="43"/>
      <c r="M142" s="131">
        <f>K142/(K142+G142)</f>
        <v>0</v>
      </c>
      <c r="N142" s="299">
        <f>D142*M142</f>
        <v>0</v>
      </c>
    </row>
    <row r="143" spans="1:14" ht="12.75">
      <c r="A143" s="45"/>
      <c r="B143" s="28" t="s">
        <v>327</v>
      </c>
      <c r="C143" s="304">
        <v>512</v>
      </c>
      <c r="D143" s="122">
        <v>33000000</v>
      </c>
      <c r="E143" s="304">
        <f>C143*8</f>
        <v>4096</v>
      </c>
      <c r="F143" s="315">
        <f>3*E143/D143</f>
        <v>0.0003723636363636364</v>
      </c>
      <c r="G143" s="316">
        <f>($B$128+$B$123+$B$124+(2*$B$129)+((2*$B$11)+$B$12+(3*$B$14)+$B$13)/$D143)</f>
        <v>7.51212303030303E-05</v>
      </c>
      <c r="H143" s="325">
        <f>F143/(F143+G143)</f>
        <v>0.8321256518402255</v>
      </c>
      <c r="I143" s="306">
        <f>D143*H143</f>
        <v>27460146.51072744</v>
      </c>
      <c r="J143" s="28"/>
      <c r="K143" s="129"/>
      <c r="L143" s="43"/>
      <c r="M143" s="131">
        <f>K143/(K143+G143)</f>
        <v>0</v>
      </c>
      <c r="N143" s="299">
        <f>D143*M143</f>
        <v>0</v>
      </c>
    </row>
    <row r="144" spans="1:14" ht="12.75">
      <c r="A144" s="45"/>
      <c r="B144" s="28" t="s">
        <v>328</v>
      </c>
      <c r="C144" s="304">
        <v>512</v>
      </c>
      <c r="D144" s="122">
        <v>33000000</v>
      </c>
      <c r="E144" s="304">
        <f>C144*8</f>
        <v>4096</v>
      </c>
      <c r="F144" s="315">
        <f>3*E144/D144</f>
        <v>0.0003723636363636364</v>
      </c>
      <c r="G144" s="316">
        <f>($B$128+$B$123+$B$124+(2*$B$129)+((2*$K$11)+$K$12+(3*$K$14)+$K$13)/$D144)</f>
        <v>7.893941212121211E-05</v>
      </c>
      <c r="H144" s="325">
        <f>F144/(F144+G144)</f>
        <v>0.8250855774490468</v>
      </c>
      <c r="I144" s="306">
        <f>D144*H144</f>
        <v>27227824.055818543</v>
      </c>
      <c r="J144" s="28"/>
      <c r="K144" s="129"/>
      <c r="L144" s="43"/>
      <c r="M144" s="131">
        <f>K144/(K144+G144)</f>
        <v>0</v>
      </c>
      <c r="N144" s="299">
        <f>D144*M144</f>
        <v>0</v>
      </c>
    </row>
    <row r="145" spans="1:14" ht="12.75">
      <c r="A145" s="45"/>
      <c r="B145" s="28" t="s">
        <v>329</v>
      </c>
      <c r="C145" s="304">
        <v>512</v>
      </c>
      <c r="D145" s="122">
        <v>33000000</v>
      </c>
      <c r="E145" s="304">
        <f>C145*8</f>
        <v>4096</v>
      </c>
      <c r="F145" s="315">
        <f>3*E145/D145</f>
        <v>0.0003723636363636364</v>
      </c>
      <c r="G145" s="316">
        <f>(3*$B$124+2*$B$126+(5*$B$129)+((5*$G$15)+(3*$G$16)+(3*$G$17))/$D145)</f>
        <v>0.0002508181818181818</v>
      </c>
      <c r="H145" s="325">
        <f>F145/(F145+G145)</f>
        <v>0.5975200583515682</v>
      </c>
      <c r="I145" s="306">
        <f>D145*H145</f>
        <v>19718161.92560175</v>
      </c>
      <c r="J145" s="28"/>
      <c r="K145" s="28"/>
      <c r="L145" s="28"/>
      <c r="M145" s="131">
        <f>K145/(K145+G145)</f>
        <v>0</v>
      </c>
      <c r="N145" s="299">
        <f>D145*M145</f>
        <v>0</v>
      </c>
    </row>
    <row r="146" spans="1:14" ht="12.75">
      <c r="A146" s="45"/>
      <c r="B146" s="28"/>
      <c r="C146" s="304"/>
      <c r="D146" s="28"/>
      <c r="E146" s="304"/>
      <c r="F146" s="315"/>
      <c r="G146" s="316"/>
      <c r="H146" s="328"/>
      <c r="I146" s="304"/>
      <c r="J146" s="28"/>
      <c r="K146" s="28"/>
      <c r="L146" s="28"/>
      <c r="M146" s="28"/>
      <c r="N146" s="46"/>
    </row>
    <row r="147" spans="1:14" ht="12.75">
      <c r="A147" s="45"/>
      <c r="B147" s="28" t="s">
        <v>330</v>
      </c>
      <c r="C147" s="304">
        <v>1514</v>
      </c>
      <c r="D147" s="122">
        <v>33000000</v>
      </c>
      <c r="E147" s="304">
        <f>C147*8</f>
        <v>12112</v>
      </c>
      <c r="F147" s="315">
        <f>3*E147/D147</f>
        <v>0.001101090909090909</v>
      </c>
      <c r="G147" s="316">
        <f>($B$128+$B$123+$B$124+(2*$B$129)+((2*$G$11)+$G$12+(3*$G$14)+$G$13)/$D147)</f>
        <v>7.65151696969697E-05</v>
      </c>
      <c r="H147" s="325">
        <f>F147/(F147+G147)</f>
        <v>0.9350248176574228</v>
      </c>
      <c r="I147" s="306">
        <f>D147*H147</f>
        <v>30855818.982694954</v>
      </c>
      <c r="J147" s="28"/>
      <c r="K147" s="129"/>
      <c r="L147" s="43"/>
      <c r="M147" s="131">
        <f>K147/(K147+G147)</f>
        <v>0</v>
      </c>
      <c r="N147" s="299">
        <f>D147*M147</f>
        <v>0</v>
      </c>
    </row>
    <row r="148" spans="1:14" ht="12.75">
      <c r="A148" s="45"/>
      <c r="B148" s="28" t="s">
        <v>327</v>
      </c>
      <c r="C148" s="304">
        <v>1514</v>
      </c>
      <c r="D148" s="122">
        <v>33000000</v>
      </c>
      <c r="E148" s="304">
        <f>C148*8</f>
        <v>12112</v>
      </c>
      <c r="F148" s="315">
        <f>3*E148/D148</f>
        <v>0.001101090909090909</v>
      </c>
      <c r="G148" s="316">
        <f>($B$128+$B$123+$B$124+(2*$B$129)+((2*$B$11)+$B$12+(3*$B$14)+$B$13)/$D148)</f>
        <v>7.51212303030303E-05</v>
      </c>
      <c r="H148" s="325">
        <f>F148/(F148+G148)</f>
        <v>0.936132923826362</v>
      </c>
      <c r="I148" s="306">
        <f>D148*H148</f>
        <v>30892386.486269947</v>
      </c>
      <c r="J148" s="28"/>
      <c r="K148" s="129"/>
      <c r="L148" s="43"/>
      <c r="M148" s="131">
        <f>K148/(K148+G148)</f>
        <v>0</v>
      </c>
      <c r="N148" s="299">
        <f>D148*M148</f>
        <v>0</v>
      </c>
    </row>
    <row r="149" spans="1:14" ht="12.75">
      <c r="A149" s="45"/>
      <c r="B149" s="28" t="s">
        <v>328</v>
      </c>
      <c r="C149" s="304">
        <v>1514</v>
      </c>
      <c r="D149" s="122">
        <v>33000000</v>
      </c>
      <c r="E149" s="304">
        <f>C149*8</f>
        <v>12112</v>
      </c>
      <c r="F149" s="315">
        <f>3*E149/D149</f>
        <v>0.001101090909090909</v>
      </c>
      <c r="G149" s="316">
        <f>($B$128+$B$123+$B$124+(2*$B$129)+((2*$K$11)+$K$12+(3*$K$14)+$K$13)/$D149)</f>
        <v>7.893941212121211E-05</v>
      </c>
      <c r="H149" s="325">
        <f>F149/(F149+G149)</f>
        <v>0.933103912075644</v>
      </c>
      <c r="I149" s="306">
        <f>D149*H149</f>
        <v>30792429.098496255</v>
      </c>
      <c r="J149" s="28"/>
      <c r="K149" s="129"/>
      <c r="L149" s="43"/>
      <c r="M149" s="131">
        <f>K149/(K149+G149)</f>
        <v>0</v>
      </c>
      <c r="N149" s="299">
        <f>D149*M149</f>
        <v>0</v>
      </c>
    </row>
    <row r="150" spans="1:14" ht="12.75">
      <c r="A150" s="236"/>
      <c r="B150" s="48" t="s">
        <v>329</v>
      </c>
      <c r="C150" s="305">
        <v>1514</v>
      </c>
      <c r="D150" s="301">
        <v>33000000</v>
      </c>
      <c r="E150" s="305">
        <f>C150*8</f>
        <v>12112</v>
      </c>
      <c r="F150" s="318">
        <f>3*E150/D150</f>
        <v>0.001101090909090909</v>
      </c>
      <c r="G150" s="317">
        <f>(3*$B$124+2*$B$126+(5*$B$129)+((5*$G$15)+(3*$G$16)+(3*$G$17))/$D150)</f>
        <v>0.0002508181818181818</v>
      </c>
      <c r="H150" s="326">
        <f>F150/(F150+G150)</f>
        <v>0.8144711182839084</v>
      </c>
      <c r="I150" s="307">
        <f>D150*H150</f>
        <v>26877546.903368976</v>
      </c>
      <c r="J150" s="48"/>
      <c r="K150" s="48"/>
      <c r="L150" s="48"/>
      <c r="M150" s="374">
        <f>K150/(K150+G150)</f>
        <v>0</v>
      </c>
      <c r="N150" s="375">
        <f>D150*M150</f>
        <v>0</v>
      </c>
    </row>
    <row r="151" spans="1:14" ht="12.75">
      <c r="A151" s="28"/>
      <c r="B151" s="28"/>
      <c r="C151" s="28"/>
      <c r="D151" s="122"/>
      <c r="E151" s="28"/>
      <c r="F151" s="129"/>
      <c r="G151" s="300"/>
      <c r="H151" s="235"/>
      <c r="I151" s="106"/>
      <c r="J151" s="28"/>
      <c r="K151" s="28"/>
      <c r="L151" s="28"/>
      <c r="M151" s="131"/>
      <c r="N151" s="122"/>
    </row>
    <row r="152" spans="1:14" ht="12.75">
      <c r="A152" s="310" t="s">
        <v>433</v>
      </c>
      <c r="B152" s="311"/>
      <c r="C152" s="312"/>
      <c r="I152" s="309"/>
      <c r="J152" s="28"/>
      <c r="K152" s="129"/>
      <c r="L152" s="300"/>
      <c r="M152" s="131"/>
      <c r="N152" s="122"/>
    </row>
    <row r="153" spans="1:14" ht="12.75">
      <c r="A153" s="23" t="s">
        <v>152</v>
      </c>
      <c r="B153" s="21">
        <v>5E-06</v>
      </c>
      <c r="C153" s="6" t="s">
        <v>104</v>
      </c>
      <c r="I153" s="309"/>
      <c r="J153" s="28"/>
      <c r="K153" s="129"/>
      <c r="L153" s="300"/>
      <c r="M153" s="131"/>
      <c r="N153" s="122"/>
    </row>
    <row r="154" spans="1:14" ht="12.75">
      <c r="A154" s="23" t="s">
        <v>82</v>
      </c>
      <c r="B154" s="21">
        <v>1E-05</v>
      </c>
      <c r="C154" s="6" t="s">
        <v>104</v>
      </c>
      <c r="I154" s="309"/>
      <c r="J154" s="28"/>
      <c r="K154" s="129"/>
      <c r="L154" s="300"/>
      <c r="M154" s="131"/>
      <c r="N154" s="122"/>
    </row>
    <row r="155" spans="1:14" ht="12.75">
      <c r="A155" s="7"/>
      <c r="B155" s="7"/>
      <c r="C155" s="7"/>
      <c r="F155" s="251"/>
      <c r="G155" s="35"/>
      <c r="H155" s="27"/>
      <c r="I155" s="309"/>
      <c r="J155" s="28"/>
      <c r="K155" s="129"/>
      <c r="L155" s="300"/>
      <c r="M155" s="131"/>
      <c r="N155" s="122"/>
    </row>
    <row r="156" spans="1:14" ht="12.75">
      <c r="A156" s="107" t="s">
        <v>352</v>
      </c>
      <c r="B156" s="119">
        <v>3E-05</v>
      </c>
      <c r="C156" s="7" t="s">
        <v>104</v>
      </c>
      <c r="F156" s="251"/>
      <c r="G156" s="35"/>
      <c r="H156" s="27"/>
      <c r="I156" s="309"/>
      <c r="J156" s="28"/>
      <c r="K156" s="129"/>
      <c r="L156" s="300"/>
      <c r="M156" s="131"/>
      <c r="N156" s="122"/>
    </row>
    <row r="157" spans="1:14" ht="12.75">
      <c r="A157" s="23" t="s">
        <v>338</v>
      </c>
      <c r="B157" s="21">
        <v>1E-06</v>
      </c>
      <c r="C157" s="6" t="s">
        <v>104</v>
      </c>
      <c r="I157" s="309"/>
      <c r="J157" s="28"/>
      <c r="K157" s="129"/>
      <c r="L157" s="300"/>
      <c r="M157" s="131"/>
      <c r="N157" s="122"/>
    </row>
    <row r="158" spans="1:14" ht="12.75">
      <c r="A158" s="23" t="s">
        <v>346</v>
      </c>
      <c r="B158" s="21">
        <v>5.8182E-06</v>
      </c>
      <c r="C158" s="6" t="s">
        <v>104</v>
      </c>
      <c r="I158" s="309"/>
      <c r="J158" s="28"/>
      <c r="K158" s="129"/>
      <c r="L158" s="300"/>
      <c r="M158" s="131"/>
      <c r="N158" s="122"/>
    </row>
    <row r="159" spans="1:14" ht="12.75">
      <c r="A159" s="23" t="s">
        <v>441</v>
      </c>
      <c r="B159" s="21">
        <v>5E-05</v>
      </c>
      <c r="C159" s="6" t="s">
        <v>104</v>
      </c>
      <c r="D159" t="s">
        <v>353</v>
      </c>
      <c r="I159" s="309"/>
      <c r="J159" s="28"/>
      <c r="K159" s="129"/>
      <c r="L159" s="300"/>
      <c r="M159" s="131"/>
      <c r="N159" s="122"/>
    </row>
    <row r="160" spans="4:14" ht="12.75">
      <c r="D160" s="16"/>
      <c r="F160" s="18"/>
      <c r="G160" s="300"/>
      <c r="H160" s="314"/>
      <c r="I160" s="313"/>
      <c r="M160" s="15"/>
      <c r="N160" s="16"/>
    </row>
    <row r="161" spans="1:14" ht="51.75" thickBot="1">
      <c r="A161" s="334" t="s">
        <v>334</v>
      </c>
      <c r="B161" s="335" t="s">
        <v>332</v>
      </c>
      <c r="C161" s="335" t="s">
        <v>415</v>
      </c>
      <c r="D161" s="335" t="s">
        <v>354</v>
      </c>
      <c r="E161" s="335" t="s">
        <v>416</v>
      </c>
      <c r="F161" s="335" t="s">
        <v>347</v>
      </c>
      <c r="G161" s="335" t="s">
        <v>348</v>
      </c>
      <c r="H161" s="335" t="s">
        <v>103</v>
      </c>
      <c r="I161" s="335" t="s">
        <v>355</v>
      </c>
      <c r="J161" s="335"/>
      <c r="K161" s="335" t="s">
        <v>331</v>
      </c>
      <c r="L161" s="335" t="s">
        <v>325</v>
      </c>
      <c r="M161" s="335" t="s">
        <v>333</v>
      </c>
      <c r="N161" s="336" t="s">
        <v>326</v>
      </c>
    </row>
    <row r="162" spans="1:14" ht="13.5" thickTop="1">
      <c r="A162" s="45" t="s">
        <v>434</v>
      </c>
      <c r="B162" s="304" t="s">
        <v>330</v>
      </c>
      <c r="C162" s="304">
        <v>512</v>
      </c>
      <c r="D162" s="319">
        <v>50000000</v>
      </c>
      <c r="E162" s="304">
        <f>C162*8</f>
        <v>4096</v>
      </c>
      <c r="F162" s="315">
        <f>3*E162/D162</f>
        <v>0.00024576</v>
      </c>
      <c r="G162" s="316">
        <f>($B$158+$B$153+$B$154+(2*$B$159)+((2*$G$11)+$G$12+(3*$G$14)+$G$13)/$D162)</f>
        <v>0.0001272182</v>
      </c>
      <c r="H162" s="325">
        <f>F162/(F162+G162)</f>
        <v>0.6589125048059108</v>
      </c>
      <c r="I162" s="306">
        <f>D162*H162</f>
        <v>32945625.24029554</v>
      </c>
      <c r="J162" s="304"/>
      <c r="K162" s="205"/>
      <c r="L162" s="320"/>
      <c r="M162" s="321">
        <f>K162/(K162+G162)</f>
        <v>0</v>
      </c>
      <c r="N162" s="322">
        <f>D162*M162</f>
        <v>0</v>
      </c>
    </row>
    <row r="163" spans="1:14" ht="12.75">
      <c r="A163" s="45"/>
      <c r="B163" s="304" t="s">
        <v>327</v>
      </c>
      <c r="C163" s="304">
        <v>512</v>
      </c>
      <c r="D163" s="319">
        <v>50000000</v>
      </c>
      <c r="E163" s="304">
        <f>C163*8</f>
        <v>4096</v>
      </c>
      <c r="F163" s="315">
        <f>3*E163/D163</f>
        <v>0.00024576</v>
      </c>
      <c r="G163" s="316">
        <f>($B$158+$B$153+$B$154+(2*$B$159)+((2*$B$11)+$B$12+(3*$B$14)+$B$13)/$D163)</f>
        <v>0.00012629820000000002</v>
      </c>
      <c r="H163" s="325">
        <f>F163/(F163+G163)</f>
        <v>0.6605418184574349</v>
      </c>
      <c r="I163" s="306">
        <f>D163*H163</f>
        <v>33027090.922871742</v>
      </c>
      <c r="J163" s="304"/>
      <c r="K163" s="205"/>
      <c r="L163" s="320"/>
      <c r="M163" s="321">
        <f>K163/(K163+G163)</f>
        <v>0</v>
      </c>
      <c r="N163" s="322">
        <f>D163*M163</f>
        <v>0</v>
      </c>
    </row>
    <row r="164" spans="1:14" ht="12.75">
      <c r="A164" s="45"/>
      <c r="B164" s="304" t="s">
        <v>328</v>
      </c>
      <c r="C164" s="304">
        <v>512</v>
      </c>
      <c r="D164" s="319">
        <v>50000000</v>
      </c>
      <c r="E164" s="304">
        <f>C164*8</f>
        <v>4096</v>
      </c>
      <c r="F164" s="315">
        <f>3*E164/D164</f>
        <v>0.00024576</v>
      </c>
      <c r="G164" s="316">
        <f>($B$158+$B$153+$B$154+(2*$B$159)+((2*$K$11)+$K$12+(3*$K$14)+$K$13)/$D164)</f>
        <v>0.0001288182</v>
      </c>
      <c r="H164" s="325">
        <f>F164/(F164+G164)</f>
        <v>0.6560979790067868</v>
      </c>
      <c r="I164" s="306">
        <f>D164*H164</f>
        <v>32804898.95033934</v>
      </c>
      <c r="J164" s="304"/>
      <c r="K164" s="205"/>
      <c r="L164" s="320"/>
      <c r="M164" s="321">
        <f>K164/(K164+G164)</f>
        <v>0</v>
      </c>
      <c r="N164" s="322">
        <f>D164*M164</f>
        <v>0</v>
      </c>
    </row>
    <row r="165" spans="1:14" ht="12.75">
      <c r="A165" s="45"/>
      <c r="B165" s="304" t="s">
        <v>329</v>
      </c>
      <c r="C165" s="304">
        <v>512</v>
      </c>
      <c r="D165" s="319">
        <v>50000000</v>
      </c>
      <c r="E165" s="304">
        <f>C165*8</f>
        <v>4096</v>
      </c>
      <c r="F165" s="315">
        <f>3*E165/D165</f>
        <v>0.00024576</v>
      </c>
      <c r="G165" s="316">
        <f>(3*$B$154+2*$B$156+(5*$B$159)+((5*$G$15)+(3*$G$16)+(3*$G$17))/$D165)</f>
        <v>0.00037024000000000003</v>
      </c>
      <c r="H165" s="325">
        <f>F165/(F165+G165)</f>
        <v>0.3989610389610389</v>
      </c>
      <c r="I165" s="306">
        <f>D165*H165</f>
        <v>19948051.948051944</v>
      </c>
      <c r="J165" s="304"/>
      <c r="K165" s="304"/>
      <c r="L165" s="304"/>
      <c r="M165" s="321">
        <f>K165/(K165+G165)</f>
        <v>0</v>
      </c>
      <c r="N165" s="322">
        <f>D165*M165</f>
        <v>0</v>
      </c>
    </row>
    <row r="166" spans="1:14" ht="12.75">
      <c r="A166" s="45"/>
      <c r="B166" s="304"/>
      <c r="C166" s="304"/>
      <c r="D166" s="304"/>
      <c r="E166" s="304"/>
      <c r="F166" s="315"/>
      <c r="G166" s="316"/>
      <c r="H166" s="328"/>
      <c r="I166" s="304"/>
      <c r="J166" s="304"/>
      <c r="K166" s="304"/>
      <c r="L166" s="304"/>
      <c r="M166" s="304"/>
      <c r="N166" s="323"/>
    </row>
    <row r="167" spans="1:14" ht="12.75">
      <c r="A167" s="45"/>
      <c r="B167" s="304" t="s">
        <v>330</v>
      </c>
      <c r="C167" s="304">
        <v>1514</v>
      </c>
      <c r="D167" s="319">
        <v>50000000</v>
      </c>
      <c r="E167" s="304">
        <f>C167*8</f>
        <v>12112</v>
      </c>
      <c r="F167" s="315">
        <f>3*E167/D167</f>
        <v>0.00072672</v>
      </c>
      <c r="G167" s="316">
        <f>($B$158+$B$153+$B$154+(2*$B$159)+((2*$G$11)+$G$12+(3*$G$14)+$G$13)/$D167)</f>
        <v>0.0001272182</v>
      </c>
      <c r="H167" s="325">
        <f>F167/(F167+G167)</f>
        <v>0.8510217718331373</v>
      </c>
      <c r="I167" s="306">
        <f>D167*H167</f>
        <v>42551088.59165686</v>
      </c>
      <c r="J167" s="304"/>
      <c r="K167" s="205"/>
      <c r="L167" s="320"/>
      <c r="M167" s="321">
        <f>K167/(K167+G167)</f>
        <v>0</v>
      </c>
      <c r="N167" s="322">
        <f>D167*M167</f>
        <v>0</v>
      </c>
    </row>
    <row r="168" spans="1:14" ht="12.75">
      <c r="A168" s="45"/>
      <c r="B168" s="304" t="s">
        <v>327</v>
      </c>
      <c r="C168" s="304">
        <v>1514</v>
      </c>
      <c r="D168" s="319">
        <v>50000000</v>
      </c>
      <c r="E168" s="304">
        <f>C168*8</f>
        <v>12112</v>
      </c>
      <c r="F168" s="315">
        <f>3*E168/D168</f>
        <v>0.00072672</v>
      </c>
      <c r="G168" s="316">
        <f>($B$158+$B$153+$B$154+(2*$B$159)+((2*$B$11)+$B$12+(3*$B$14)+$B$13)/$D168)</f>
        <v>0.00012629820000000002</v>
      </c>
      <c r="H168" s="325">
        <f>F168/(F168+G168)</f>
        <v>0.851939618638852</v>
      </c>
      <c r="I168" s="306">
        <f>D168*H168</f>
        <v>42596980.931942604</v>
      </c>
      <c r="J168" s="304"/>
      <c r="K168" s="205"/>
      <c r="L168" s="320"/>
      <c r="M168" s="321">
        <f>K168/(K168+G168)</f>
        <v>0</v>
      </c>
      <c r="N168" s="322">
        <f>D168*M168</f>
        <v>0</v>
      </c>
    </row>
    <row r="169" spans="1:14" ht="12.75">
      <c r="A169" s="45"/>
      <c r="B169" s="304" t="s">
        <v>328</v>
      </c>
      <c r="C169" s="304">
        <v>1514</v>
      </c>
      <c r="D169" s="319">
        <v>50000000</v>
      </c>
      <c r="E169" s="304">
        <f>C169*8</f>
        <v>12112</v>
      </c>
      <c r="F169" s="315">
        <f>3*E169/D169</f>
        <v>0.00072672</v>
      </c>
      <c r="G169" s="316">
        <f>($B$158+$B$153+$B$154+(2*$B$159)+((2*$K$11)+$K$12+(3*$K$14)+$K$13)/$D169)</f>
        <v>0.0001288182</v>
      </c>
      <c r="H169" s="325">
        <f>F169/(F169+G169)</f>
        <v>0.8494302183117013</v>
      </c>
      <c r="I169" s="306">
        <f>D169*H169</f>
        <v>42471510.91558506</v>
      </c>
      <c r="J169" s="304"/>
      <c r="K169" s="205"/>
      <c r="L169" s="320"/>
      <c r="M169" s="321">
        <f>K169/(K169+G169)</f>
        <v>0</v>
      </c>
      <c r="N169" s="322">
        <f>D169*M169</f>
        <v>0</v>
      </c>
    </row>
    <row r="170" spans="1:14" ht="12.75">
      <c r="A170" s="236"/>
      <c r="B170" s="305" t="s">
        <v>329</v>
      </c>
      <c r="C170" s="305">
        <v>1514</v>
      </c>
      <c r="D170" s="324">
        <v>50000000</v>
      </c>
      <c r="E170" s="305">
        <f>C170*8</f>
        <v>12112</v>
      </c>
      <c r="F170" s="318">
        <f>3*E170/D170</f>
        <v>0.00072672</v>
      </c>
      <c r="G170" s="317">
        <f>(3*$B$1544+2*$B$156+(5*$B$159)+((5*$G$15)+(3*$G$16)+(3*$G$17))/$D170)</f>
        <v>0.00034024</v>
      </c>
      <c r="H170" s="326">
        <f>F170/(F170+G170)</f>
        <v>0.6811126940091475</v>
      </c>
      <c r="I170" s="307">
        <f>D170*H170</f>
        <v>34055634.70045738</v>
      </c>
      <c r="J170" s="305"/>
      <c r="K170" s="305"/>
      <c r="L170" s="305"/>
      <c r="M170" s="376">
        <f>K170/(K170+G170)</f>
        <v>0</v>
      </c>
      <c r="N170" s="377">
        <f>D170*M170</f>
        <v>0</v>
      </c>
    </row>
    <row r="171" spans="1:14" ht="12.75">
      <c r="A171" s="28"/>
      <c r="B171" s="28"/>
      <c r="C171" s="28"/>
      <c r="D171" s="122"/>
      <c r="E171" s="28"/>
      <c r="F171" s="129"/>
      <c r="G171" s="300"/>
      <c r="H171" s="235"/>
      <c r="I171" s="106"/>
      <c r="J171" s="28"/>
      <c r="K171" s="28"/>
      <c r="L171" s="28"/>
      <c r="M171" s="131"/>
      <c r="N171" s="122"/>
    </row>
    <row r="172" spans="1:14" ht="12.75">
      <c r="A172" s="310" t="s">
        <v>436</v>
      </c>
      <c r="B172" s="311"/>
      <c r="C172" s="312"/>
      <c r="I172" s="309"/>
      <c r="J172" s="28"/>
      <c r="K172" s="129"/>
      <c r="L172" s="300"/>
      <c r="M172" s="131"/>
      <c r="N172" s="122"/>
    </row>
    <row r="173" spans="1:14" ht="12.75">
      <c r="A173" s="23" t="s">
        <v>152</v>
      </c>
      <c r="B173" s="21">
        <v>5E-06</v>
      </c>
      <c r="C173" s="6" t="s">
        <v>104</v>
      </c>
      <c r="I173" s="309"/>
      <c r="J173" s="28"/>
      <c r="K173" s="129"/>
      <c r="L173" s="300"/>
      <c r="M173" s="131"/>
      <c r="N173" s="122"/>
    </row>
    <row r="174" spans="1:14" ht="12.75">
      <c r="A174" s="23" t="s">
        <v>82</v>
      </c>
      <c r="B174" s="21">
        <v>1.6E-05</v>
      </c>
      <c r="C174" s="6" t="s">
        <v>104</v>
      </c>
      <c r="I174" s="309"/>
      <c r="J174" s="28"/>
      <c r="K174" s="129"/>
      <c r="L174" s="300"/>
      <c r="M174" s="131"/>
      <c r="N174" s="122"/>
    </row>
    <row r="175" spans="1:14" ht="12.75">
      <c r="A175" s="7"/>
      <c r="B175" s="7"/>
      <c r="C175" s="7"/>
      <c r="F175" s="251"/>
      <c r="G175" s="35"/>
      <c r="H175" s="27"/>
      <c r="I175" s="309"/>
      <c r="J175" s="28"/>
      <c r="K175" s="129"/>
      <c r="L175" s="300"/>
      <c r="M175" s="131"/>
      <c r="N175" s="122"/>
    </row>
    <row r="176" spans="1:14" ht="12.75">
      <c r="A176" s="23" t="s">
        <v>352</v>
      </c>
      <c r="B176" s="21">
        <v>3.2E-05</v>
      </c>
      <c r="C176" s="6" t="s">
        <v>104</v>
      </c>
      <c r="F176" s="251"/>
      <c r="G176" s="35"/>
      <c r="H176" s="27"/>
      <c r="I176" s="309"/>
      <c r="J176" s="28"/>
      <c r="K176" s="129"/>
      <c r="L176" s="300"/>
      <c r="M176" s="131"/>
      <c r="N176" s="122"/>
    </row>
    <row r="177" spans="1:14" ht="12.75">
      <c r="A177" s="23" t="s">
        <v>338</v>
      </c>
      <c r="B177" s="21">
        <v>1E-06</v>
      </c>
      <c r="C177" s="6" t="s">
        <v>104</v>
      </c>
      <c r="I177" s="309"/>
      <c r="J177" s="28"/>
      <c r="K177" s="129"/>
      <c r="L177" s="300"/>
      <c r="M177" s="131"/>
      <c r="N177" s="122"/>
    </row>
    <row r="178" spans="1:14" ht="12.75">
      <c r="A178" s="23" t="s">
        <v>346</v>
      </c>
      <c r="B178" s="21">
        <v>5.8182E-06</v>
      </c>
      <c r="C178" s="6" t="s">
        <v>104</v>
      </c>
      <c r="I178" s="309"/>
      <c r="J178" s="28"/>
      <c r="K178" s="129"/>
      <c r="L178" s="300"/>
      <c r="M178" s="131"/>
      <c r="N178" s="122"/>
    </row>
    <row r="179" spans="1:14" ht="12.75">
      <c r="A179" s="23" t="s">
        <v>442</v>
      </c>
      <c r="B179" s="21">
        <v>8.4E-06</v>
      </c>
      <c r="C179" s="6" t="s">
        <v>104</v>
      </c>
      <c r="D179" s="16"/>
      <c r="I179" s="309"/>
      <c r="J179" s="28"/>
      <c r="K179" s="129"/>
      <c r="L179" s="300"/>
      <c r="M179" s="131"/>
      <c r="N179" s="122"/>
    </row>
    <row r="180" spans="1:14" ht="12.75">
      <c r="A180" s="28"/>
      <c r="B180" s="28"/>
      <c r="C180" s="28"/>
      <c r="D180" s="122"/>
      <c r="E180" s="28"/>
      <c r="F180" s="129"/>
      <c r="G180" s="300"/>
      <c r="H180" s="235"/>
      <c r="I180" s="106"/>
      <c r="J180" s="28"/>
      <c r="K180" s="28"/>
      <c r="L180" s="28"/>
      <c r="M180" s="131"/>
      <c r="N180" s="122"/>
    </row>
    <row r="181" spans="1:14" ht="51.75" thickBot="1">
      <c r="A181" s="334" t="s">
        <v>334</v>
      </c>
      <c r="B181" s="335" t="s">
        <v>332</v>
      </c>
      <c r="C181" s="335" t="s">
        <v>415</v>
      </c>
      <c r="D181" s="335" t="s">
        <v>354</v>
      </c>
      <c r="E181" s="335" t="s">
        <v>416</v>
      </c>
      <c r="F181" s="335" t="s">
        <v>347</v>
      </c>
      <c r="G181" s="335" t="s">
        <v>348</v>
      </c>
      <c r="H181" s="335" t="s">
        <v>103</v>
      </c>
      <c r="I181" s="335" t="s">
        <v>355</v>
      </c>
      <c r="J181" s="335"/>
      <c r="K181" s="335" t="s">
        <v>331</v>
      </c>
      <c r="L181" s="335" t="s">
        <v>325</v>
      </c>
      <c r="M181" s="335" t="s">
        <v>333</v>
      </c>
      <c r="N181" s="336" t="s">
        <v>326</v>
      </c>
    </row>
    <row r="182" spans="1:14" ht="13.5" thickTop="1">
      <c r="A182" s="45" t="s">
        <v>435</v>
      </c>
      <c r="B182" s="28" t="s">
        <v>330</v>
      </c>
      <c r="C182" s="304">
        <v>512</v>
      </c>
      <c r="D182" s="319">
        <v>21700000</v>
      </c>
      <c r="E182" s="304">
        <f>C182*8</f>
        <v>4096</v>
      </c>
      <c r="F182" s="315">
        <f>3*E182/D182</f>
        <v>0.0005662672811059908</v>
      </c>
      <c r="G182" s="316">
        <f>($B$178+$B$173+$B$174+(2*$B$179)+((2*$G$11)+$G$12+(3*$G$14)+$G$13)/$D182)</f>
        <v>5.8364743778801846E-05</v>
      </c>
      <c r="H182" s="325">
        <f>F182/(F182+G182)</f>
        <v>0.9065613970248056</v>
      </c>
      <c r="I182" s="306">
        <f>D182*H182</f>
        <v>19672382.31543828</v>
      </c>
      <c r="J182" s="304"/>
      <c r="K182" s="205"/>
      <c r="L182" s="320"/>
      <c r="M182" s="321">
        <f>K182/(K182+G182)</f>
        <v>0</v>
      </c>
      <c r="N182" s="322">
        <f>D182*M182</f>
        <v>0</v>
      </c>
    </row>
    <row r="183" spans="1:14" ht="12.75">
      <c r="A183" s="45"/>
      <c r="B183" s="28" t="s">
        <v>327</v>
      </c>
      <c r="C183" s="304">
        <v>512</v>
      </c>
      <c r="D183" s="319">
        <v>21700000</v>
      </c>
      <c r="E183" s="304">
        <f>C183*8</f>
        <v>4096</v>
      </c>
      <c r="F183" s="315">
        <f>3*E183/D183</f>
        <v>0.0005662672811059908</v>
      </c>
      <c r="G183" s="316">
        <f>($B$178+$B$173+$B$174+(2*$B$179)+((2*$B$11)+$B$12+(3*$B$14)+$B$13)/$D183)</f>
        <v>5.624492811059908E-05</v>
      </c>
      <c r="H183" s="325">
        <f>F183/(F183+G183)</f>
        <v>0.9096484739128547</v>
      </c>
      <c r="I183" s="306">
        <f>D183*H183</f>
        <v>19739371.88390895</v>
      </c>
      <c r="J183" s="304"/>
      <c r="K183" s="205"/>
      <c r="L183" s="320"/>
      <c r="M183" s="321">
        <f>K183/(K183+G183)</f>
        <v>0</v>
      </c>
      <c r="N183" s="322">
        <f>D183*M183</f>
        <v>0</v>
      </c>
    </row>
    <row r="184" spans="1:14" ht="12.75">
      <c r="A184" s="45"/>
      <c r="B184" s="28" t="s">
        <v>328</v>
      </c>
      <c r="C184" s="304">
        <v>512</v>
      </c>
      <c r="D184" s="319">
        <v>21700000</v>
      </c>
      <c r="E184" s="304">
        <f>C184*8</f>
        <v>4096</v>
      </c>
      <c r="F184" s="315">
        <f>3*E184/D184</f>
        <v>0.0005662672811059908</v>
      </c>
      <c r="G184" s="316">
        <f>($B$178+$B$173+$B$174+(2*$B$179)+((2*$K$11)+$K$12+(3*$K$14)+$K$13)/$D184)</f>
        <v>6.205137972350231E-05</v>
      </c>
      <c r="H184" s="325">
        <f>F184/(F184+G184)</f>
        <v>0.901242182363988</v>
      </c>
      <c r="I184" s="306">
        <f>D184*H184</f>
        <v>19556955.357298538</v>
      </c>
      <c r="J184" s="304"/>
      <c r="K184" s="205"/>
      <c r="L184" s="320"/>
      <c r="M184" s="321">
        <f>K184/(K184+G184)</f>
        <v>0</v>
      </c>
      <c r="N184" s="322">
        <f>D184*M184</f>
        <v>0</v>
      </c>
    </row>
    <row r="185" spans="1:14" ht="12.75">
      <c r="A185" s="45"/>
      <c r="B185" s="28" t="s">
        <v>329</v>
      </c>
      <c r="C185" s="304">
        <v>512</v>
      </c>
      <c r="D185" s="319">
        <v>21700000</v>
      </c>
      <c r="E185" s="304">
        <f>C185*8</f>
        <v>4096</v>
      </c>
      <c r="F185" s="315">
        <f>3*E185/D185</f>
        <v>0.0005662672811059908</v>
      </c>
      <c r="G185" s="316">
        <f>(3*$B$174+2*$B$176+(5*$B$179)+((5*$G$15)+(3*$G$16)+(3*$G$17))/$D185)</f>
        <v>0.0002236774193548387</v>
      </c>
      <c r="H185" s="325">
        <f>F185/(F185+G185)</f>
        <v>0.7168442053926659</v>
      </c>
      <c r="I185" s="306">
        <f>D185*H185</f>
        <v>15555519.25702085</v>
      </c>
      <c r="J185" s="304"/>
      <c r="K185" s="304"/>
      <c r="L185" s="304"/>
      <c r="M185" s="321">
        <f>K185/(K185+G185)</f>
        <v>0</v>
      </c>
      <c r="N185" s="322">
        <f>D185*M185</f>
        <v>0</v>
      </c>
    </row>
    <row r="186" spans="1:14" ht="12.75">
      <c r="A186" s="45"/>
      <c r="B186" s="28"/>
      <c r="C186" s="304"/>
      <c r="D186" s="319"/>
      <c r="E186" s="304"/>
      <c r="F186" s="315"/>
      <c r="G186" s="316"/>
      <c r="H186" s="327"/>
      <c r="I186" s="309"/>
      <c r="J186" s="304"/>
      <c r="K186" s="304"/>
      <c r="L186" s="304"/>
      <c r="M186" s="321"/>
      <c r="N186" s="322"/>
    </row>
    <row r="187" spans="1:14" ht="12.75">
      <c r="A187" s="45"/>
      <c r="B187" s="28" t="s">
        <v>330</v>
      </c>
      <c r="C187" s="304">
        <v>1514</v>
      </c>
      <c r="D187" s="319">
        <v>21700000</v>
      </c>
      <c r="E187" s="304">
        <f>C187*8</f>
        <v>12112</v>
      </c>
      <c r="F187" s="315">
        <f>3*E187/D187</f>
        <v>0.0016744700460829493</v>
      </c>
      <c r="G187" s="316">
        <f>($B$178+$B$173+$B$174+(2*$B$179)+((2*$G$11)+$G$12+(3*$G$14)+$G$13)/$D187)</f>
        <v>5.8364743778801846E-05</v>
      </c>
      <c r="H187" s="325">
        <f>F187/(F187+G187)</f>
        <v>0.9663183448761101</v>
      </c>
      <c r="I187" s="306">
        <f>D187*H187</f>
        <v>20969108.08381159</v>
      </c>
      <c r="J187" s="304"/>
      <c r="K187" s="205"/>
      <c r="L187" s="320"/>
      <c r="M187" s="321">
        <f>K187/(K187+G187)</f>
        <v>0</v>
      </c>
      <c r="N187" s="322">
        <f>D187*M187</f>
        <v>0</v>
      </c>
    </row>
    <row r="188" spans="1:14" ht="12.75">
      <c r="A188" s="45"/>
      <c r="B188" s="28" t="s">
        <v>327</v>
      </c>
      <c r="C188" s="304">
        <v>1514</v>
      </c>
      <c r="D188" s="319">
        <v>21700000</v>
      </c>
      <c r="E188" s="304">
        <f>C188*8</f>
        <v>12112</v>
      </c>
      <c r="F188" s="315">
        <f>3*E188/D188</f>
        <v>0.0016744700460829493</v>
      </c>
      <c r="G188" s="316">
        <f>($B$178+$B$173+$B$174+(2*$B$179)+((2*$B$11)+$B$12+(3*$B$14)+$B$13)/$D188)</f>
        <v>5.624492811059908E-05</v>
      </c>
      <c r="H188" s="325">
        <f>F188/(F188+G188)</f>
        <v>0.9675019116669935</v>
      </c>
      <c r="I188" s="306">
        <f>D188*H188</f>
        <v>20994791.483173758</v>
      </c>
      <c r="J188" s="304"/>
      <c r="K188" s="205"/>
      <c r="L188" s="320"/>
      <c r="M188" s="321">
        <f>K188/(K188+G188)</f>
        <v>0</v>
      </c>
      <c r="N188" s="322">
        <f>D188*M188</f>
        <v>0</v>
      </c>
    </row>
    <row r="189" spans="1:14" ht="12.75">
      <c r="A189" s="45"/>
      <c r="B189" s="28" t="s">
        <v>328</v>
      </c>
      <c r="C189" s="304">
        <v>1514</v>
      </c>
      <c r="D189" s="319">
        <v>21700000</v>
      </c>
      <c r="E189" s="304">
        <f>C189*8</f>
        <v>12112</v>
      </c>
      <c r="F189" s="315">
        <f>3*E189/D189</f>
        <v>0.0016744700460829493</v>
      </c>
      <c r="G189" s="316">
        <f>($B$178+$B$173+$B$174+(2*$B$179)+((2*$K$11)+$K$12+(3*$K$14)+$K$13)/$D189)</f>
        <v>6.205137972350231E-05</v>
      </c>
      <c r="H189" s="325">
        <f>F189/(F189+G189)</f>
        <v>0.9642668504970013</v>
      </c>
      <c r="I189" s="306">
        <f>D189*H189</f>
        <v>20924590.655784927</v>
      </c>
      <c r="J189" s="304"/>
      <c r="K189" s="205"/>
      <c r="L189" s="320"/>
      <c r="M189" s="321">
        <f>K189/(K189+G189)</f>
        <v>0</v>
      </c>
      <c r="N189" s="322">
        <f>D189*M189</f>
        <v>0</v>
      </c>
    </row>
    <row r="190" spans="1:14" ht="12.75">
      <c r="A190" s="45"/>
      <c r="B190" s="28" t="s">
        <v>329</v>
      </c>
      <c r="C190" s="304">
        <v>1514</v>
      </c>
      <c r="D190" s="319">
        <v>21700000</v>
      </c>
      <c r="E190" s="304">
        <f>C190*8</f>
        <v>12112</v>
      </c>
      <c r="F190" s="315">
        <f>3*E190/D190</f>
        <v>0.0016744700460829493</v>
      </c>
      <c r="G190" s="316">
        <f>(3*$B$174+2*$B$176+(5*$B$179)+((5*$G$15)+(3*$G$16)+(3*$G$17))/$D190)</f>
        <v>0.0002236774193548387</v>
      </c>
      <c r="H190" s="325">
        <f>F190/(F190+G190)</f>
        <v>0.8821601464440225</v>
      </c>
      <c r="I190" s="306">
        <f>D190*H190</f>
        <v>19142875.17783529</v>
      </c>
      <c r="J190" s="304"/>
      <c r="K190" s="304"/>
      <c r="L190" s="304"/>
      <c r="M190" s="321">
        <f>K190/(K190+G190)</f>
        <v>0</v>
      </c>
      <c r="N190" s="322">
        <f>D190*M190</f>
        <v>0</v>
      </c>
    </row>
    <row r="191" spans="1:14" ht="12.75">
      <c r="A191" s="45"/>
      <c r="B191" s="28"/>
      <c r="C191" s="304"/>
      <c r="D191" s="319"/>
      <c r="E191" s="304"/>
      <c r="F191" s="315"/>
      <c r="G191" s="316"/>
      <c r="H191" s="327"/>
      <c r="I191" s="309"/>
      <c r="J191" s="304"/>
      <c r="K191" s="304"/>
      <c r="L191" s="304"/>
      <c r="M191" s="321"/>
      <c r="N191" s="322"/>
    </row>
    <row r="192" spans="1:14" ht="12.75">
      <c r="A192" s="45"/>
      <c r="B192" s="28" t="s">
        <v>330</v>
      </c>
      <c r="C192" s="304">
        <v>512</v>
      </c>
      <c r="D192" s="319">
        <v>26700000</v>
      </c>
      <c r="E192" s="304">
        <f>C192*8</f>
        <v>4096</v>
      </c>
      <c r="F192" s="315">
        <f>3*E192/D192</f>
        <v>0.0004602247191011236</v>
      </c>
      <c r="G192" s="316">
        <f>($B$178+$B$173+$B$174+(2*$B$179)+((2*$G$11)+$G$12+(3*$G$14)+$G$13)/$D192)</f>
        <v>5.560321872659176E-05</v>
      </c>
      <c r="H192" s="325">
        <f>F192/(F192+G192)</f>
        <v>0.8922058798118782</v>
      </c>
      <c r="I192" s="306">
        <f>D192*H192</f>
        <v>23821896.990977146</v>
      </c>
      <c r="J192" s="304"/>
      <c r="K192" s="205"/>
      <c r="L192" s="320"/>
      <c r="M192" s="321">
        <f>K192/(K192+G192)</f>
        <v>0</v>
      </c>
      <c r="N192" s="322">
        <f>D192*M192</f>
        <v>0</v>
      </c>
    </row>
    <row r="193" spans="1:14" ht="12.75">
      <c r="A193" s="45"/>
      <c r="B193" s="28" t="s">
        <v>327</v>
      </c>
      <c r="C193" s="304">
        <v>512</v>
      </c>
      <c r="D193" s="319">
        <v>26700000</v>
      </c>
      <c r="E193" s="304">
        <f>C193*8</f>
        <v>4096</v>
      </c>
      <c r="F193" s="315">
        <f>3*E193/D193</f>
        <v>0.0004602247191011236</v>
      </c>
      <c r="G193" s="316">
        <f>($B$178+$B$173+$B$174+(2*$B$179)+((2*$B$11)+$B$12+(3*$B$14)+$B$13)/$D193)</f>
        <v>5.38803722846442E-05</v>
      </c>
      <c r="H193" s="325">
        <f>F193/(F193+G193)</f>
        <v>0.895195801038636</v>
      </c>
      <c r="I193" s="306">
        <f>D193*H193</f>
        <v>23901727.887731582</v>
      </c>
      <c r="J193" s="304"/>
      <c r="K193" s="205"/>
      <c r="L193" s="320"/>
      <c r="M193" s="321">
        <f>K193/(K193+G193)</f>
        <v>0</v>
      </c>
      <c r="N193" s="322">
        <f>D193*M193</f>
        <v>0</v>
      </c>
    </row>
    <row r="194" spans="1:14" ht="12.75">
      <c r="A194" s="45"/>
      <c r="B194" s="28" t="s">
        <v>328</v>
      </c>
      <c r="C194" s="304">
        <v>512</v>
      </c>
      <c r="D194" s="319">
        <v>26700000</v>
      </c>
      <c r="E194" s="304">
        <f>C194*8</f>
        <v>4096</v>
      </c>
      <c r="F194" s="315">
        <f>3*E194/D194</f>
        <v>0.0004602247191011236</v>
      </c>
      <c r="G194" s="316">
        <f>($B$178+$B$173+$B$174+(2*$B$179)+((2*$K$11)+$K$12+(3*$K$14)+$K$13)/$D194)</f>
        <v>5.8599473408239706E-05</v>
      </c>
      <c r="H194" s="325">
        <f>F194/(F194+G194)</f>
        <v>0.8870533135226106</v>
      </c>
      <c r="I194" s="306">
        <f>D194*H194</f>
        <v>23684323.471053705</v>
      </c>
      <c r="J194" s="304"/>
      <c r="K194" s="205"/>
      <c r="L194" s="320"/>
      <c r="M194" s="321">
        <f>K194/(K194+G194)</f>
        <v>0</v>
      </c>
      <c r="N194" s="322">
        <f>D194*M194</f>
        <v>0</v>
      </c>
    </row>
    <row r="195" spans="1:14" ht="12.75">
      <c r="A195" s="45"/>
      <c r="B195" s="28" t="s">
        <v>329</v>
      </c>
      <c r="C195" s="304">
        <v>512</v>
      </c>
      <c r="D195" s="319">
        <v>26700000</v>
      </c>
      <c r="E195" s="304">
        <f>C195*8</f>
        <v>4096</v>
      </c>
      <c r="F195" s="315">
        <f>3*E195/D195</f>
        <v>0.0004602247191011236</v>
      </c>
      <c r="G195" s="316">
        <f>(3*$B$174+2*$B$176+(5*$B$179)+((5*$G$15)+(3*$G$16)+(3*$G$17))/$D195)</f>
        <v>0.00021062921348314608</v>
      </c>
      <c r="H195" s="325">
        <f>F195/(F195+G195)</f>
        <v>0.6860282048705323</v>
      </c>
      <c r="I195" s="306">
        <f>D195*H195</f>
        <v>18316953.070043214</v>
      </c>
      <c r="J195" s="304"/>
      <c r="K195" s="304"/>
      <c r="L195" s="304"/>
      <c r="M195" s="321">
        <f>K195/(K195+G195)</f>
        <v>0</v>
      </c>
      <c r="N195" s="322">
        <f>D195*M195</f>
        <v>0</v>
      </c>
    </row>
    <row r="196" spans="1:14" ht="12.75">
      <c r="A196" s="45"/>
      <c r="B196" s="28"/>
      <c r="C196" s="304"/>
      <c r="D196" s="319"/>
      <c r="E196" s="304"/>
      <c r="F196" s="315"/>
      <c r="G196" s="316"/>
      <c r="H196" s="327"/>
      <c r="I196" s="309"/>
      <c r="J196" s="304"/>
      <c r="K196" s="304"/>
      <c r="L196" s="304"/>
      <c r="M196" s="321"/>
      <c r="N196" s="322"/>
    </row>
    <row r="197" spans="1:14" ht="12.75">
      <c r="A197" s="45"/>
      <c r="B197" s="28" t="s">
        <v>330</v>
      </c>
      <c r="C197" s="304">
        <v>1514</v>
      </c>
      <c r="D197" s="319">
        <v>26700000</v>
      </c>
      <c r="E197" s="304">
        <f>C197*8</f>
        <v>12112</v>
      </c>
      <c r="F197" s="315">
        <f>3*E197/D197</f>
        <v>0.0013608988764044945</v>
      </c>
      <c r="G197" s="316">
        <f>($B$178+$B$173+$B$174+(2*$B$179)+((2*$G$11)+$G$12+(3*$G$14)+$G$13)/$D197)</f>
        <v>5.560321872659176E-05</v>
      </c>
      <c r="H197" s="325">
        <f>F197/(F197+G197)</f>
        <v>0.9607461090825664</v>
      </c>
      <c r="I197" s="306">
        <f>D197*H197</f>
        <v>25651921.112504523</v>
      </c>
      <c r="J197" s="304"/>
      <c r="K197" s="205"/>
      <c r="L197" s="320"/>
      <c r="M197" s="321">
        <f>K197/(K197+G197)</f>
        <v>0</v>
      </c>
      <c r="N197" s="322">
        <f>D197*M197</f>
        <v>0</v>
      </c>
    </row>
    <row r="198" spans="1:14" ht="12.75">
      <c r="A198" s="45"/>
      <c r="B198" s="28" t="s">
        <v>327</v>
      </c>
      <c r="C198" s="304">
        <v>1514</v>
      </c>
      <c r="D198" s="319">
        <v>26700000</v>
      </c>
      <c r="E198" s="304">
        <f>C198*8</f>
        <v>12112</v>
      </c>
      <c r="F198" s="315">
        <f>3*E198/D198</f>
        <v>0.0013608988764044945</v>
      </c>
      <c r="G198" s="316">
        <f>($B$178+$B$173+$B$174+(2*$B$179)+((2*$B$11)+$B$12+(3*$B$14)+$B$13)/$D198)</f>
        <v>5.38803722846442E-05</v>
      </c>
      <c r="H198" s="325">
        <f>F198/(F198+G198)</f>
        <v>0.9619160569858747</v>
      </c>
      <c r="I198" s="306">
        <f>D198*H198</f>
        <v>25683158.721522853</v>
      </c>
      <c r="J198" s="304"/>
      <c r="K198" s="205"/>
      <c r="L198" s="320"/>
      <c r="M198" s="321">
        <f>K198/(K198+G198)</f>
        <v>0</v>
      </c>
      <c r="N198" s="322">
        <f>D198*M198</f>
        <v>0</v>
      </c>
    </row>
    <row r="199" spans="1:14" ht="12.75">
      <c r="A199" s="45"/>
      <c r="B199" s="28" t="s">
        <v>328</v>
      </c>
      <c r="C199" s="304">
        <v>1514</v>
      </c>
      <c r="D199" s="319">
        <v>26700000</v>
      </c>
      <c r="E199" s="304">
        <f>C199*8</f>
        <v>12112</v>
      </c>
      <c r="F199" s="315">
        <f>3*E199/D199</f>
        <v>0.0013608988764044945</v>
      </c>
      <c r="G199" s="316">
        <f>($B$178+$B$173+$B$174+(2*$B$179)+((2*$K$11)+$K$12+(3*$K$14)+$K$13)/$D199)</f>
        <v>5.8599473408239706E-05</v>
      </c>
      <c r="H199" s="325">
        <f>F199/(F199+G199)</f>
        <v>0.9587181813800837</v>
      </c>
      <c r="I199" s="306">
        <f>D199*H199</f>
        <v>25597775.442848235</v>
      </c>
      <c r="J199" s="304"/>
      <c r="K199" s="205"/>
      <c r="L199" s="320"/>
      <c r="M199" s="321">
        <f>K199/(K199+G199)</f>
        <v>0</v>
      </c>
      <c r="N199" s="322">
        <f>D199*M199</f>
        <v>0</v>
      </c>
    </row>
    <row r="200" spans="1:14" ht="12.75">
      <c r="A200" s="45"/>
      <c r="B200" s="28" t="s">
        <v>329</v>
      </c>
      <c r="C200" s="304">
        <v>1514</v>
      </c>
      <c r="D200" s="319">
        <v>26700000</v>
      </c>
      <c r="E200" s="304">
        <f>C200*8</f>
        <v>12112</v>
      </c>
      <c r="F200" s="315">
        <f>3*E200/D200</f>
        <v>0.0013608988764044945</v>
      </c>
      <c r="G200" s="316">
        <f>(3*$B$174+2*$B$176+(5*$B$179)+((5*$G$15)+(3*$G$16)+(3*$G$17))/$D200)</f>
        <v>0.00021062921348314608</v>
      </c>
      <c r="H200" s="325">
        <f>F200/(F200+G200)</f>
        <v>0.8659717157851087</v>
      </c>
      <c r="I200" s="306">
        <f>D200*H200</f>
        <v>23121444.811462402</v>
      </c>
      <c r="J200" s="304"/>
      <c r="K200" s="304"/>
      <c r="L200" s="304"/>
      <c r="M200" s="321">
        <f>K200/(K200+G200)</f>
        <v>0</v>
      </c>
      <c r="N200" s="322">
        <f>D200*M200</f>
        <v>0</v>
      </c>
    </row>
    <row r="201" spans="1:14" ht="12.75">
      <c r="A201" s="45"/>
      <c r="B201" s="28"/>
      <c r="C201" s="304"/>
      <c r="D201" s="319"/>
      <c r="E201" s="304"/>
      <c r="F201" s="315"/>
      <c r="G201" s="316"/>
      <c r="H201" s="327"/>
      <c r="I201" s="309"/>
      <c r="J201" s="304"/>
      <c r="K201" s="304"/>
      <c r="L201" s="304"/>
      <c r="M201" s="321"/>
      <c r="N201" s="322"/>
    </row>
    <row r="202" spans="1:14" ht="12.75">
      <c r="A202" s="45"/>
      <c r="B202" s="28" t="s">
        <v>330</v>
      </c>
      <c r="C202" s="304">
        <v>512</v>
      </c>
      <c r="D202" s="319">
        <v>43300000</v>
      </c>
      <c r="E202" s="304">
        <f>C202*8</f>
        <v>4096</v>
      </c>
      <c r="F202" s="315">
        <f>3*E202/D202</f>
        <v>0.00028378752886836026</v>
      </c>
      <c r="G202" s="316">
        <f>($B$178+$B$173+$B$174+(2*$B$179)+((2*$G$11)+$G$12+(3*$G$14)+$G$13)/$D202)</f>
        <v>5.1008500230946885E-05</v>
      </c>
      <c r="H202" s="325">
        <f>F202/(F202+G202)</f>
        <v>0.8476430548827784</v>
      </c>
      <c r="I202" s="306">
        <f>D202*H202</f>
        <v>36702944.2764243</v>
      </c>
      <c r="J202" s="304"/>
      <c r="K202" s="205"/>
      <c r="L202" s="320"/>
      <c r="M202" s="321">
        <f>K202/(K202+G202)</f>
        <v>0</v>
      </c>
      <c r="N202" s="322">
        <f>D202*M202</f>
        <v>0</v>
      </c>
    </row>
    <row r="203" spans="1:14" ht="12.75">
      <c r="A203" s="45"/>
      <c r="B203" s="28" t="s">
        <v>327</v>
      </c>
      <c r="C203" s="304">
        <v>512</v>
      </c>
      <c r="D203" s="319">
        <v>43300000</v>
      </c>
      <c r="E203" s="304">
        <f>C203*8</f>
        <v>4096</v>
      </c>
      <c r="F203" s="315">
        <f>3*E203/D203</f>
        <v>0.00028378752886836026</v>
      </c>
      <c r="G203" s="316">
        <f>($B$178+$B$173+$B$174+(2*$B$179)+((2*$B$11)+$B$12+(3*$B$14)+$B$13)/$D203)</f>
        <v>4.994614457274827E-05</v>
      </c>
      <c r="H203" s="325">
        <f>F203/(F203+G203)</f>
        <v>0.8503413094107152</v>
      </c>
      <c r="I203" s="306">
        <f>D203*H203</f>
        <v>36819778.697483964</v>
      </c>
      <c r="J203" s="304"/>
      <c r="K203" s="205"/>
      <c r="L203" s="320"/>
      <c r="M203" s="321">
        <f>K203/(K203+G203)</f>
        <v>0</v>
      </c>
      <c r="N203" s="322">
        <f>D203*M203</f>
        <v>0</v>
      </c>
    </row>
    <row r="204" spans="1:14" ht="12.75">
      <c r="A204" s="45"/>
      <c r="B204" s="28" t="s">
        <v>328</v>
      </c>
      <c r="C204" s="304">
        <v>512</v>
      </c>
      <c r="D204" s="319">
        <v>43300000</v>
      </c>
      <c r="E204" s="304">
        <f>C204*8</f>
        <v>4096</v>
      </c>
      <c r="F204" s="315">
        <f>3*E204/D204</f>
        <v>0.00028378752886836026</v>
      </c>
      <c r="G204" s="316">
        <f>($B$178+$B$173+$B$174+(2*$B$179)+((2*$K$11)+$K$12+(3*$K$14)+$K$13)/$D204)</f>
        <v>5.28560752886836E-05</v>
      </c>
      <c r="H204" s="325">
        <f>F204/(F204+G204)</f>
        <v>0.8429910010587152</v>
      </c>
      <c r="I204" s="306">
        <f>D204*H204</f>
        <v>36501510.34584237</v>
      </c>
      <c r="J204" s="304"/>
      <c r="K204" s="205"/>
      <c r="L204" s="320"/>
      <c r="M204" s="321">
        <f>K204/(K204+G204)</f>
        <v>0</v>
      </c>
      <c r="N204" s="322">
        <f>D204*M204</f>
        <v>0</v>
      </c>
    </row>
    <row r="205" spans="1:14" ht="12.75">
      <c r="A205" s="45"/>
      <c r="B205" s="28" t="s">
        <v>329</v>
      </c>
      <c r="C205" s="304">
        <v>512</v>
      </c>
      <c r="D205" s="319">
        <v>43300000</v>
      </c>
      <c r="E205" s="304">
        <f>C205*8</f>
        <v>4096</v>
      </c>
      <c r="F205" s="315">
        <f>3*E205/D205</f>
        <v>0.00028378752886836026</v>
      </c>
      <c r="G205" s="316">
        <f>(3*$B$174+2*$B$176+(5*$B$179)+((5*$G$15)+(3*$G$16)+(3*$G$17))/$D205)</f>
        <v>0.00018891916859122403</v>
      </c>
      <c r="H205" s="325">
        <f>F205/(F205+G205)</f>
        <v>0.6003459024242483</v>
      </c>
      <c r="I205" s="306">
        <f>D205*H205</f>
        <v>25994977.574969955</v>
      </c>
      <c r="J205" s="304"/>
      <c r="K205" s="304"/>
      <c r="L205" s="304"/>
      <c r="M205" s="321">
        <f>K205/(K205+G205)</f>
        <v>0</v>
      </c>
      <c r="N205" s="322">
        <f>D205*M205</f>
        <v>0</v>
      </c>
    </row>
    <row r="206" spans="1:14" ht="12.75">
      <c r="A206" s="45"/>
      <c r="B206" s="28"/>
      <c r="C206" s="304"/>
      <c r="D206" s="319"/>
      <c r="E206" s="304"/>
      <c r="F206" s="315"/>
      <c r="G206" s="316"/>
      <c r="H206" s="327"/>
      <c r="I206" s="309"/>
      <c r="J206" s="304"/>
      <c r="K206" s="304"/>
      <c r="L206" s="304"/>
      <c r="M206" s="321"/>
      <c r="N206" s="322"/>
    </row>
    <row r="207" spans="1:14" ht="12.75">
      <c r="A207" s="45"/>
      <c r="B207" s="28" t="s">
        <v>330</v>
      </c>
      <c r="C207" s="304">
        <v>1514</v>
      </c>
      <c r="D207" s="319">
        <v>43300000</v>
      </c>
      <c r="E207" s="304">
        <f>C207*8</f>
        <v>12112</v>
      </c>
      <c r="F207" s="315">
        <f>3*E207/D207</f>
        <v>0.0008391685912240185</v>
      </c>
      <c r="G207" s="316">
        <f>($B$178+$B$173+$B$174+(2*$B$179)+((2*$G$11)+$G$12+(3*$G$14)+$G$13)/$D207)</f>
        <v>5.1008500230946885E-05</v>
      </c>
      <c r="H207" s="325">
        <f>F207/(F207+G207)</f>
        <v>0.9426984802006361</v>
      </c>
      <c r="I207" s="306">
        <f>D207*H207</f>
        <v>40818844.19268754</v>
      </c>
      <c r="J207" s="304"/>
      <c r="K207" s="205"/>
      <c r="L207" s="320"/>
      <c r="M207" s="321">
        <f>K207/(K207+G207)</f>
        <v>0</v>
      </c>
      <c r="N207" s="322">
        <f>D207*M207</f>
        <v>0</v>
      </c>
    </row>
    <row r="208" spans="1:14" ht="12.75">
      <c r="A208" s="45"/>
      <c r="B208" s="28" t="s">
        <v>327</v>
      </c>
      <c r="C208" s="304">
        <v>1514</v>
      </c>
      <c r="D208" s="319">
        <v>43300000</v>
      </c>
      <c r="E208" s="304">
        <f>C208*8</f>
        <v>12112</v>
      </c>
      <c r="F208" s="315">
        <f>3*E208/D208</f>
        <v>0.0008391685912240185</v>
      </c>
      <c r="G208" s="316">
        <f>($B$178+$B$173+$B$174+(2*$B$179)+((2*$B$11)+$B$12+(3*$B$14)+$B$13)/$D208)</f>
        <v>4.994614457274827E-05</v>
      </c>
      <c r="H208" s="325">
        <f>F208/(F208+G208)</f>
        <v>0.943824860209982</v>
      </c>
      <c r="I208" s="306">
        <f>D208*H208</f>
        <v>40867616.44709222</v>
      </c>
      <c r="J208" s="304"/>
      <c r="K208" s="205"/>
      <c r="L208" s="320"/>
      <c r="M208" s="321">
        <f>K208/(K208+G208)</f>
        <v>0</v>
      </c>
      <c r="N208" s="322">
        <f>D208*M208</f>
        <v>0</v>
      </c>
    </row>
    <row r="209" spans="1:14" ht="12.75">
      <c r="A209" s="45"/>
      <c r="B209" s="28" t="s">
        <v>328</v>
      </c>
      <c r="C209" s="304">
        <v>1514</v>
      </c>
      <c r="D209" s="319">
        <v>43300000</v>
      </c>
      <c r="E209" s="304">
        <f>C209*8</f>
        <v>12112</v>
      </c>
      <c r="F209" s="315">
        <f>3*E209/D209</f>
        <v>0.0008391685912240185</v>
      </c>
      <c r="G209" s="316">
        <f>($B$178+$B$173+$B$174+(2*$B$179)+((2*$K$11)+$K$12+(3*$K$14)+$K$13)/$D209)</f>
        <v>5.28560752886836E-05</v>
      </c>
      <c r="H209" s="325">
        <f>F209/(F209+G209)</f>
        <v>0.940745948769197</v>
      </c>
      <c r="I209" s="306">
        <f>D209*H209</f>
        <v>40734299.58170623</v>
      </c>
      <c r="J209" s="304"/>
      <c r="K209" s="205"/>
      <c r="L209" s="320"/>
      <c r="M209" s="321">
        <f>K209/(K209+G209)</f>
        <v>0</v>
      </c>
      <c r="N209" s="322">
        <f>D209*M209</f>
        <v>0</v>
      </c>
    </row>
    <row r="210" spans="1:14" ht="12.75">
      <c r="A210" s="236"/>
      <c r="B210" s="48" t="s">
        <v>329</v>
      </c>
      <c r="C210" s="305">
        <v>1514</v>
      </c>
      <c r="D210" s="324">
        <v>43300000</v>
      </c>
      <c r="E210" s="305">
        <f>C210*8</f>
        <v>12112</v>
      </c>
      <c r="F210" s="318">
        <f>3*E210/D210</f>
        <v>0.0008391685912240185</v>
      </c>
      <c r="G210" s="317">
        <f>(3*$B$174+2*$B$176+(5*$B$179)+((5*$G$15)+(3*$G$16)+(3*$G$17))/$D210)</f>
        <v>0.00018891916859122403</v>
      </c>
      <c r="H210" s="326">
        <f>F210/(F210+G210)</f>
        <v>0.8162421770052252</v>
      </c>
      <c r="I210" s="307">
        <f>D210*H210</f>
        <v>35343286.26432625</v>
      </c>
      <c r="J210" s="305"/>
      <c r="K210" s="305"/>
      <c r="L210" s="305"/>
      <c r="M210" s="376">
        <f>K210/(K210+G210)</f>
        <v>0</v>
      </c>
      <c r="N210" s="377">
        <f>D210*M210</f>
        <v>0</v>
      </c>
    </row>
    <row r="212" spans="1:14" ht="12.75">
      <c r="A212" s="310" t="s">
        <v>437</v>
      </c>
      <c r="B212" s="311"/>
      <c r="C212" s="312"/>
      <c r="I212" s="309"/>
      <c r="J212" s="28"/>
      <c r="K212" s="129"/>
      <c r="L212" s="300"/>
      <c r="M212" s="131"/>
      <c r="N212" s="122"/>
    </row>
    <row r="213" spans="1:14" ht="12.75">
      <c r="A213" s="23" t="s">
        <v>152</v>
      </c>
      <c r="B213" s="21">
        <v>5E-06</v>
      </c>
      <c r="C213" s="6" t="s">
        <v>104</v>
      </c>
      <c r="I213" s="309"/>
      <c r="J213" s="28"/>
      <c r="K213" s="129"/>
      <c r="L213" s="300"/>
      <c r="M213" s="131"/>
      <c r="N213" s="122"/>
    </row>
    <row r="214" spans="1:14" ht="12.75">
      <c r="A214" s="23" t="s">
        <v>82</v>
      </c>
      <c r="B214" s="21">
        <v>1E-05</v>
      </c>
      <c r="C214" s="6" t="s">
        <v>104</v>
      </c>
      <c r="I214" s="309"/>
      <c r="J214" s="28"/>
      <c r="K214" s="129"/>
      <c r="L214" s="300"/>
      <c r="M214" s="131"/>
      <c r="N214" s="122"/>
    </row>
    <row r="215" spans="1:14" ht="12.75">
      <c r="A215" s="7"/>
      <c r="B215" s="7"/>
      <c r="C215" s="7"/>
      <c r="F215" s="251"/>
      <c r="G215" s="35"/>
      <c r="H215" s="27"/>
      <c r="I215" s="309"/>
      <c r="J215" s="28"/>
      <c r="K215" s="129"/>
      <c r="L215" s="300"/>
      <c r="M215" s="131"/>
      <c r="N215" s="122"/>
    </row>
    <row r="216" spans="1:14" ht="12.75">
      <c r="A216" s="107" t="s">
        <v>352</v>
      </c>
      <c r="B216" s="119">
        <v>3E-05</v>
      </c>
      <c r="C216" s="7" t="s">
        <v>104</v>
      </c>
      <c r="F216" s="251"/>
      <c r="G216" s="35"/>
      <c r="H216" s="27"/>
      <c r="I216" s="309"/>
      <c r="J216" s="28"/>
      <c r="K216" s="129"/>
      <c r="L216" s="300"/>
      <c r="M216" s="131"/>
      <c r="N216" s="122"/>
    </row>
    <row r="217" spans="1:14" ht="12.75">
      <c r="A217" s="23" t="s">
        <v>338</v>
      </c>
      <c r="B217" s="21">
        <v>1E-06</v>
      </c>
      <c r="C217" s="6" t="s">
        <v>104</v>
      </c>
      <c r="I217" s="309"/>
      <c r="J217" s="28"/>
      <c r="K217" s="129"/>
      <c r="L217" s="300"/>
      <c r="M217" s="131"/>
      <c r="N217" s="122"/>
    </row>
    <row r="218" spans="1:14" ht="12.75">
      <c r="A218" s="23" t="s">
        <v>346</v>
      </c>
      <c r="B218" s="21">
        <v>5.8182E-06</v>
      </c>
      <c r="C218" s="6" t="s">
        <v>104</v>
      </c>
      <c r="I218" s="309"/>
      <c r="J218" s="28"/>
      <c r="K218" s="129"/>
      <c r="L218" s="300"/>
      <c r="M218" s="131"/>
      <c r="N218" s="122"/>
    </row>
    <row r="219" spans="1:14" ht="12.75">
      <c r="A219" s="23" t="s">
        <v>443</v>
      </c>
      <c r="B219" s="21">
        <v>0.000104</v>
      </c>
      <c r="C219" s="6" t="s">
        <v>104</v>
      </c>
      <c r="D219" t="s">
        <v>353</v>
      </c>
      <c r="I219" s="309"/>
      <c r="J219" s="28"/>
      <c r="K219" s="129"/>
      <c r="L219" s="300"/>
      <c r="M219" s="131"/>
      <c r="N219" s="122"/>
    </row>
    <row r="221" spans="1:14" ht="51.75" thickBot="1">
      <c r="A221" s="330" t="s">
        <v>334</v>
      </c>
      <c r="B221" s="331" t="s">
        <v>332</v>
      </c>
      <c r="C221" s="335" t="s">
        <v>415</v>
      </c>
      <c r="D221" s="331" t="s">
        <v>354</v>
      </c>
      <c r="E221" s="335" t="s">
        <v>416</v>
      </c>
      <c r="F221" s="331" t="s">
        <v>347</v>
      </c>
      <c r="G221" s="331" t="s">
        <v>348</v>
      </c>
      <c r="H221" s="331" t="s">
        <v>103</v>
      </c>
      <c r="I221" s="331" t="s">
        <v>355</v>
      </c>
      <c r="J221" s="331"/>
      <c r="K221" s="331" t="s">
        <v>331</v>
      </c>
      <c r="L221" s="331" t="s">
        <v>325</v>
      </c>
      <c r="M221" s="331" t="s">
        <v>333</v>
      </c>
      <c r="N221" s="332" t="s">
        <v>326</v>
      </c>
    </row>
    <row r="222" spans="1:14" ht="13.5" thickTop="1">
      <c r="A222" s="45" t="s">
        <v>329</v>
      </c>
      <c r="B222" s="28" t="s">
        <v>330</v>
      </c>
      <c r="C222" s="304">
        <v>512</v>
      </c>
      <c r="D222" s="319">
        <v>22000000</v>
      </c>
      <c r="E222" s="304">
        <f>C222*8</f>
        <v>4096</v>
      </c>
      <c r="F222" s="315">
        <f>3*E222/D222</f>
        <v>0.0005585454545454546</v>
      </c>
      <c r="G222" s="316">
        <f>($B$218+$B$213+$B$214+(2*$B$219)+((2*$G$11)+$G$12+(3*$G$14)+$G$13)/$D222)</f>
        <v>0.00024336365454545456</v>
      </c>
      <c r="H222" s="325">
        <f>F222/(F222+G222)</f>
        <v>0.696519653179466</v>
      </c>
      <c r="I222" s="306">
        <f>D222*H222</f>
        <v>15323432.369948251</v>
      </c>
      <c r="J222" s="304"/>
      <c r="K222" s="205"/>
      <c r="L222" s="320"/>
      <c r="M222" s="321">
        <f>K222/(K222+G222)</f>
        <v>0</v>
      </c>
      <c r="N222" s="322">
        <f>D222*M222</f>
        <v>0</v>
      </c>
    </row>
    <row r="223" spans="1:14" ht="12.75">
      <c r="A223" s="45"/>
      <c r="B223" s="28" t="s">
        <v>327</v>
      </c>
      <c r="C223" s="304">
        <v>512</v>
      </c>
      <c r="D223" s="319">
        <v>22000000</v>
      </c>
      <c r="E223" s="304">
        <f>C223*8</f>
        <v>4096</v>
      </c>
      <c r="F223" s="315">
        <f>3*E223/D223</f>
        <v>0.0005585454545454546</v>
      </c>
      <c r="G223" s="316">
        <f>($B$218+$B$213+$B$214+(2*$B$219)+((2*$B$11)+$B$12+(3*$B$14)+$B$13)/$D223)</f>
        <v>0.00024127274545454545</v>
      </c>
      <c r="H223" s="325">
        <f>F223/(F223+G223)</f>
        <v>0.6983405160640938</v>
      </c>
      <c r="I223" s="306">
        <f>D223*H223</f>
        <v>15363491.353410063</v>
      </c>
      <c r="J223" s="304"/>
      <c r="K223" s="205"/>
      <c r="L223" s="320"/>
      <c r="M223" s="321">
        <f>K223/(K223+G223)</f>
        <v>0</v>
      </c>
      <c r="N223" s="322">
        <f>D223*M223</f>
        <v>0</v>
      </c>
    </row>
    <row r="224" spans="1:14" ht="12.75">
      <c r="A224" s="45"/>
      <c r="B224" s="28" t="s">
        <v>328</v>
      </c>
      <c r="C224" s="304">
        <v>512</v>
      </c>
      <c r="D224" s="319">
        <v>22000000</v>
      </c>
      <c r="E224" s="304">
        <f>C224*8</f>
        <v>4096</v>
      </c>
      <c r="F224" s="315">
        <f>3*E224/D224</f>
        <v>0.0005585454545454546</v>
      </c>
      <c r="G224" s="316">
        <f>($B$218+$B$213+$B$214+(2*$B$219)+((2*$K$11)+$K$12+(3*$K$14)+$K$13)/$D224)</f>
        <v>0.0002470000181818182</v>
      </c>
      <c r="H224" s="325">
        <f>F224/(F224+G224)</f>
        <v>0.693375449873029</v>
      </c>
      <c r="I224" s="306">
        <f>D224*H224</f>
        <v>15254259.897206638</v>
      </c>
      <c r="J224" s="304"/>
      <c r="K224" s="205"/>
      <c r="L224" s="320"/>
      <c r="M224" s="321">
        <f>K224/(K224+G224)</f>
        <v>0</v>
      </c>
      <c r="N224" s="322">
        <f>D224*M224</f>
        <v>0</v>
      </c>
    </row>
    <row r="225" spans="1:14" ht="12.75">
      <c r="A225" s="45"/>
      <c r="B225" s="28" t="s">
        <v>329</v>
      </c>
      <c r="C225" s="304">
        <v>512</v>
      </c>
      <c r="D225" s="319">
        <v>22000000</v>
      </c>
      <c r="E225" s="304">
        <f>C225*8</f>
        <v>4096</v>
      </c>
      <c r="F225" s="315">
        <f>3*1.1*E225/D225</f>
        <v>0.0006144000000000001</v>
      </c>
      <c r="G225" s="316">
        <f>(3*$B$214+2*$B$216+(5*$B$219)+((5*$G$15)+(3*$K$16)+(3*$G$18))/$D225)</f>
        <v>0.0006809090909090909</v>
      </c>
      <c r="H225" s="325">
        <f>F225/(F225+G225)</f>
        <v>0.474326941972432</v>
      </c>
      <c r="I225" s="306">
        <f>D225*H225</f>
        <v>10435192.723393505</v>
      </c>
      <c r="J225" s="304"/>
      <c r="K225" s="304"/>
      <c r="L225" s="304"/>
      <c r="M225" s="321">
        <f>K225/(K225+G225)</f>
        <v>0</v>
      </c>
      <c r="N225" s="322">
        <f>D225*M225</f>
        <v>0</v>
      </c>
    </row>
    <row r="226" spans="1:14" ht="12.75">
      <c r="A226" s="45"/>
      <c r="B226" s="28"/>
      <c r="C226" s="304"/>
      <c r="D226" s="319"/>
      <c r="E226" s="304"/>
      <c r="F226" s="315"/>
      <c r="G226" s="316"/>
      <c r="H226" s="327"/>
      <c r="I226" s="309"/>
      <c r="J226" s="304"/>
      <c r="K226" s="304"/>
      <c r="L226" s="304"/>
      <c r="M226" s="321"/>
      <c r="N226" s="322"/>
    </row>
    <row r="227" spans="1:14" ht="12.75">
      <c r="A227" s="45"/>
      <c r="B227" s="28" t="s">
        <v>330</v>
      </c>
      <c r="C227" s="304">
        <v>1514</v>
      </c>
      <c r="D227" s="319">
        <v>22000000</v>
      </c>
      <c r="E227" s="304">
        <f>C227*8</f>
        <v>12112</v>
      </c>
      <c r="F227" s="315">
        <f>3*E227/D227</f>
        <v>0.0016516363636363636</v>
      </c>
      <c r="G227" s="316">
        <f>($B$218+$B$213+$B$214+(2*$B$219)+((2*$G$11)+$G$12+(3*$G$14)+$G$13)/$D227)</f>
        <v>0.00024336365454545456</v>
      </c>
      <c r="H227" s="325">
        <f>F227/(F227+G227)</f>
        <v>0.8715759091237619</v>
      </c>
      <c r="I227" s="306">
        <f>D227*H227</f>
        <v>19174670.000722762</v>
      </c>
      <c r="J227" s="304"/>
      <c r="K227" s="205"/>
      <c r="L227" s="320"/>
      <c r="M227" s="321">
        <f>K227/(K227+G227)</f>
        <v>0</v>
      </c>
      <c r="N227" s="322">
        <f>D227*M227</f>
        <v>0</v>
      </c>
    </row>
    <row r="228" spans="1:14" ht="12.75">
      <c r="A228" s="45"/>
      <c r="B228" s="28" t="s">
        <v>327</v>
      </c>
      <c r="C228" s="304">
        <v>1514</v>
      </c>
      <c r="D228" s="319">
        <v>22000000</v>
      </c>
      <c r="E228" s="304">
        <f>C228*8</f>
        <v>12112</v>
      </c>
      <c r="F228" s="315">
        <f>3*E228/D228</f>
        <v>0.0016516363636363636</v>
      </c>
      <c r="G228" s="316">
        <f>($B$218+$B$213+$B$214+(2*$B$219)+((2*$B$11)+$B$12+(3*$B$14)+$B$13)/$D228)</f>
        <v>0.00024127274545454545</v>
      </c>
      <c r="H228" s="325">
        <f>F228/(F228+G228)</f>
        <v>0.872538652650671</v>
      </c>
      <c r="I228" s="306">
        <f>D228*H228</f>
        <v>19195850.35831476</v>
      </c>
      <c r="J228" s="304"/>
      <c r="K228" s="205"/>
      <c r="L228" s="320"/>
      <c r="M228" s="321">
        <f>K228/(K228+G228)</f>
        <v>0</v>
      </c>
      <c r="N228" s="322">
        <f>D228*M228</f>
        <v>0</v>
      </c>
    </row>
    <row r="229" spans="1:14" ht="12.75">
      <c r="A229" s="45"/>
      <c r="B229" s="28" t="s">
        <v>328</v>
      </c>
      <c r="C229" s="304">
        <v>1514</v>
      </c>
      <c r="D229" s="319">
        <v>22000000</v>
      </c>
      <c r="E229" s="304">
        <f>C229*8</f>
        <v>12112</v>
      </c>
      <c r="F229" s="315">
        <f>3*E229/D229</f>
        <v>0.0016516363636363636</v>
      </c>
      <c r="G229" s="316">
        <f>($B$218+$B$213+$B$214+(2*$B$219)+((2*$K$11)+$K$12+(3*$K$14)+$K$13)/$D229)</f>
        <v>0.0002470000181818182</v>
      </c>
      <c r="H229" s="325">
        <f>F229/(F229+G229)</f>
        <v>0.8699066232233027</v>
      </c>
      <c r="I229" s="306">
        <f>D229*H229</f>
        <v>19137945.71091266</v>
      </c>
      <c r="J229" s="304"/>
      <c r="K229" s="205"/>
      <c r="L229" s="320"/>
      <c r="M229" s="321">
        <f>K229/(K229+G229)</f>
        <v>0</v>
      </c>
      <c r="N229" s="322">
        <f>D229*M229</f>
        <v>0</v>
      </c>
    </row>
    <row r="230" spans="1:14" ht="12.75">
      <c r="A230" s="45"/>
      <c r="B230" s="28" t="s">
        <v>329</v>
      </c>
      <c r="C230" s="304">
        <v>1514</v>
      </c>
      <c r="D230" s="319">
        <v>22000000</v>
      </c>
      <c r="E230" s="304">
        <f>C230*8</f>
        <v>12112</v>
      </c>
      <c r="F230" s="315">
        <f>3*E230/D230</f>
        <v>0.0016516363636363636</v>
      </c>
      <c r="G230" s="316">
        <f>(3*$B$214+2*$B$216+(5*$B$219)+((5*$G$15)+(3*$K$16)+(3*$G$18))/$D230)</f>
        <v>0.0006809090909090909</v>
      </c>
      <c r="H230" s="325">
        <f>F230/(F230+G230)</f>
        <v>0.7080832488892354</v>
      </c>
      <c r="I230" s="306">
        <f>D230*H230</f>
        <v>15577831.475563178</v>
      </c>
      <c r="J230" s="304"/>
      <c r="K230" s="304"/>
      <c r="L230" s="304"/>
      <c r="M230" s="321">
        <f>K230/(K230+G230)</f>
        <v>0</v>
      </c>
      <c r="N230" s="322">
        <f>D230*M230</f>
        <v>0</v>
      </c>
    </row>
    <row r="231" spans="1:14" ht="12.75">
      <c r="A231" s="45"/>
      <c r="B231" s="28"/>
      <c r="C231" s="304"/>
      <c r="D231" s="319"/>
      <c r="E231" s="304"/>
      <c r="F231" s="315"/>
      <c r="G231" s="316"/>
      <c r="H231" s="327"/>
      <c r="I231" s="309"/>
      <c r="J231" s="304"/>
      <c r="K231" s="304"/>
      <c r="L231" s="304"/>
      <c r="M231" s="321"/>
      <c r="N231" s="322"/>
    </row>
    <row r="232" spans="1:14" ht="12.75">
      <c r="A232" s="45"/>
      <c r="B232" s="28" t="s">
        <v>330</v>
      </c>
      <c r="C232" s="304">
        <v>512</v>
      </c>
      <c r="D232" s="319">
        <v>33000000</v>
      </c>
      <c r="E232" s="304">
        <f>C232*8</f>
        <v>4096</v>
      </c>
      <c r="F232" s="315">
        <f>3*E232/D232</f>
        <v>0.0003723636363636364</v>
      </c>
      <c r="G232" s="316">
        <f>($B$218+$B$213+$B$214+(2*$B$219)+((2*$G$11)+$G$12+(3*$G$14)+$G$13)/$D232)</f>
        <v>0.0002385151696969697</v>
      </c>
      <c r="H232" s="325">
        <f>F232/(F232+G232)</f>
        <v>0.6095540271971618</v>
      </c>
      <c r="I232" s="306">
        <f>D232*H232</f>
        <v>20115282.897506338</v>
      </c>
      <c r="J232" s="304"/>
      <c r="K232" s="205"/>
      <c r="L232" s="320"/>
      <c r="M232" s="321">
        <f>K232/(K232+G232)</f>
        <v>0</v>
      </c>
      <c r="N232" s="322">
        <f>D232*M232</f>
        <v>0</v>
      </c>
    </row>
    <row r="233" spans="1:14" ht="12.75">
      <c r="A233" s="45"/>
      <c r="B233" s="28" t="s">
        <v>327</v>
      </c>
      <c r="C233" s="304">
        <v>512</v>
      </c>
      <c r="D233" s="319">
        <v>33000000</v>
      </c>
      <c r="E233" s="304">
        <f>C233*8</f>
        <v>4096</v>
      </c>
      <c r="F233" s="315">
        <f>3*E233/D233</f>
        <v>0.0003723636363636364</v>
      </c>
      <c r="G233" s="316">
        <f>($B$218+$B$213+$B$214+(2*$B$219)+((2*$B$11)+$B$12+(3*$B$14)+$B$13)/$D233)</f>
        <v>0.0002371212303030303</v>
      </c>
      <c r="H233" s="325">
        <f>F233/(F233+G233)</f>
        <v>0.6109481247666249</v>
      </c>
      <c r="I233" s="306">
        <f>D233*H233</f>
        <v>20161288.11729862</v>
      </c>
      <c r="J233" s="304"/>
      <c r="K233" s="205"/>
      <c r="L233" s="320"/>
      <c r="M233" s="321">
        <f>K233/(K233+G233)</f>
        <v>0</v>
      </c>
      <c r="N233" s="322">
        <f>D233*M233</f>
        <v>0</v>
      </c>
    </row>
    <row r="234" spans="1:14" ht="12.75">
      <c r="A234" s="45"/>
      <c r="B234" s="28" t="s">
        <v>328</v>
      </c>
      <c r="C234" s="304">
        <v>512</v>
      </c>
      <c r="D234" s="319">
        <v>33000000</v>
      </c>
      <c r="E234" s="304">
        <f>C234*8</f>
        <v>4096</v>
      </c>
      <c r="F234" s="315">
        <f>3*E234/D234</f>
        <v>0.0003723636363636364</v>
      </c>
      <c r="G234" s="316">
        <f>($B$218+$B$213+$B$214+(2*$B$219)+((2*$K$11)+$K$12+(3*$K$14)+$K$13)/$D234)</f>
        <v>0.00024093941212121212</v>
      </c>
      <c r="H234" s="325">
        <f>F234/(F234+G234)</f>
        <v>0.6071446037706032</v>
      </c>
      <c r="I234" s="306">
        <f>D234*H234</f>
        <v>20035771.924429905</v>
      </c>
      <c r="J234" s="304"/>
      <c r="K234" s="205"/>
      <c r="L234" s="320"/>
      <c r="M234" s="321">
        <f>K234/(K234+G234)</f>
        <v>0</v>
      </c>
      <c r="N234" s="322">
        <f>D234*M234</f>
        <v>0</v>
      </c>
    </row>
    <row r="235" spans="1:14" ht="12.75">
      <c r="A235" s="45"/>
      <c r="B235" s="28" t="s">
        <v>329</v>
      </c>
      <c r="C235" s="304">
        <v>512</v>
      </c>
      <c r="D235" s="319">
        <v>33000000</v>
      </c>
      <c r="E235" s="304">
        <f>C235*8</f>
        <v>4096</v>
      </c>
      <c r="F235" s="315">
        <f>3*E235/D235</f>
        <v>0.0003723636363636364</v>
      </c>
      <c r="G235" s="316">
        <f>(3*$B$214+2*$B$216+(5*$B$219)+((5*$G$15)+(3*$K$16)+(3*$G$18))/$D235)</f>
        <v>0.0006572727272727273</v>
      </c>
      <c r="H235" s="325">
        <f>F235/(F235+G235)</f>
        <v>0.361645770792866</v>
      </c>
      <c r="I235" s="306">
        <f>D235*H235</f>
        <v>11934310.436164577</v>
      </c>
      <c r="J235" s="304"/>
      <c r="K235" s="304"/>
      <c r="L235" s="304"/>
      <c r="M235" s="321">
        <f>K235/(K235+G235)</f>
        <v>0</v>
      </c>
      <c r="N235" s="322">
        <f>D235*M235</f>
        <v>0</v>
      </c>
    </row>
    <row r="236" spans="1:14" ht="12.75">
      <c r="A236" s="45"/>
      <c r="B236" s="28"/>
      <c r="C236" s="304"/>
      <c r="D236" s="319"/>
      <c r="E236" s="304"/>
      <c r="F236" s="315"/>
      <c r="G236" s="316"/>
      <c r="H236" s="327"/>
      <c r="I236" s="309"/>
      <c r="J236" s="304"/>
      <c r="K236" s="304"/>
      <c r="L236" s="304"/>
      <c r="M236" s="321"/>
      <c r="N236" s="322"/>
    </row>
    <row r="237" spans="1:14" ht="12.75">
      <c r="A237" s="45"/>
      <c r="B237" s="28" t="s">
        <v>330</v>
      </c>
      <c r="C237" s="304">
        <v>1514</v>
      </c>
      <c r="D237" s="319">
        <v>33000000</v>
      </c>
      <c r="E237" s="304">
        <f>C237*8</f>
        <v>12112</v>
      </c>
      <c r="F237" s="315">
        <f>3*E237/D237</f>
        <v>0.001101090909090909</v>
      </c>
      <c r="G237" s="316">
        <f>($B$218+$B$213+$B$214+(2*$B$219)+((2*$G$11)+$G$12+(3*$G$14)+$G$13)/$D237)</f>
        <v>0.0002385151696969697</v>
      </c>
      <c r="H237" s="325">
        <f>F237/(F237+G237)</f>
        <v>0.8219512635290619</v>
      </c>
      <c r="I237" s="306">
        <f>D237*H237</f>
        <v>27124391.696459044</v>
      </c>
      <c r="J237" s="304"/>
      <c r="K237" s="205"/>
      <c r="L237" s="320"/>
      <c r="M237" s="321">
        <f>K237/(K237+G237)</f>
        <v>0</v>
      </c>
      <c r="N237" s="322">
        <f>D237*M237</f>
        <v>0</v>
      </c>
    </row>
    <row r="238" spans="1:14" ht="12.75">
      <c r="A238" s="45"/>
      <c r="B238" s="28" t="s">
        <v>327</v>
      </c>
      <c r="C238" s="304">
        <v>1514</v>
      </c>
      <c r="D238" s="319">
        <v>33000000</v>
      </c>
      <c r="E238" s="304">
        <f>C238*8</f>
        <v>12112</v>
      </c>
      <c r="F238" s="315">
        <f>3*E238/D238</f>
        <v>0.001101090909090909</v>
      </c>
      <c r="G238" s="316">
        <f>($B$218+$B$213+$B$214+(2*$B$219)+((2*$B$11)+$B$12+(3*$B$14)+$B$13)/$D238)</f>
        <v>0.0002371212303030303</v>
      </c>
      <c r="H238" s="325">
        <f>F238/(F238+G238)</f>
        <v>0.8228074433621416</v>
      </c>
      <c r="I238" s="306">
        <f>D238*H238</f>
        <v>27152645.630950674</v>
      </c>
      <c r="J238" s="304"/>
      <c r="K238" s="205"/>
      <c r="L238" s="320"/>
      <c r="M238" s="321">
        <f>K238/(K238+G238)</f>
        <v>0</v>
      </c>
      <c r="N238" s="322">
        <f>D238*M238</f>
        <v>0</v>
      </c>
    </row>
    <row r="239" spans="1:14" ht="12.75">
      <c r="A239" s="45"/>
      <c r="B239" s="28" t="s">
        <v>328</v>
      </c>
      <c r="C239" s="304">
        <v>1514</v>
      </c>
      <c r="D239" s="319">
        <v>33000000</v>
      </c>
      <c r="E239" s="304">
        <f>C239*8</f>
        <v>12112</v>
      </c>
      <c r="F239" s="315">
        <f>3*E239/D239</f>
        <v>0.001101090909090909</v>
      </c>
      <c r="G239" s="316">
        <f>($B$218+$B$213+$B$214+(2*$B$219)+((2*$K$11)+$K$12+(3*$K$14)+$K$13)/$D239)</f>
        <v>0.00024093941212121212</v>
      </c>
      <c r="H239" s="325">
        <f>F239/(F239+G239)</f>
        <v>0.8204664914697339</v>
      </c>
      <c r="I239" s="306">
        <f>D239*H239</f>
        <v>27075394.21850122</v>
      </c>
      <c r="J239" s="304"/>
      <c r="K239" s="205"/>
      <c r="L239" s="320"/>
      <c r="M239" s="321">
        <f>K239/(K239+G239)</f>
        <v>0</v>
      </c>
      <c r="N239" s="322">
        <f>D239*M239</f>
        <v>0</v>
      </c>
    </row>
    <row r="240" spans="1:14" ht="12.75">
      <c r="A240" s="45"/>
      <c r="B240" s="28" t="s">
        <v>329</v>
      </c>
      <c r="C240" s="304">
        <v>1514</v>
      </c>
      <c r="D240" s="319">
        <v>33000000</v>
      </c>
      <c r="E240" s="304">
        <f>C240*8</f>
        <v>12112</v>
      </c>
      <c r="F240" s="315">
        <f>3*E240/D240</f>
        <v>0.001101090909090909</v>
      </c>
      <c r="G240" s="316">
        <f>(3*$B$214+2*$B$216+(5*$B$219)+((5*$G$15)+(3*$K$16)+(3*$G$18))/$D240)</f>
        <v>0.0006572727272727273</v>
      </c>
      <c r="H240" s="325">
        <f>F240/(F240+G240)</f>
        <v>0.6262020473580808</v>
      </c>
      <c r="I240" s="306">
        <f>D240*H240</f>
        <v>20664667.56281667</v>
      </c>
      <c r="J240" s="304"/>
      <c r="K240" s="304"/>
      <c r="L240" s="304"/>
      <c r="M240" s="321">
        <f>K240/(K240+G240)</f>
        <v>0</v>
      </c>
      <c r="N240" s="322">
        <f>D240*M240</f>
        <v>0</v>
      </c>
    </row>
    <row r="241" spans="1:14" ht="12.75">
      <c r="A241" s="45"/>
      <c r="B241" s="28"/>
      <c r="C241" s="304"/>
      <c r="D241" s="319"/>
      <c r="E241" s="304"/>
      <c r="F241" s="315"/>
      <c r="G241" s="316"/>
      <c r="H241" s="327"/>
      <c r="I241" s="309"/>
      <c r="J241" s="304"/>
      <c r="K241" s="304"/>
      <c r="L241" s="304"/>
      <c r="M241" s="321"/>
      <c r="N241" s="322"/>
    </row>
    <row r="242" spans="1:14" ht="12.75">
      <c r="A242" s="45"/>
      <c r="B242" s="28" t="s">
        <v>330</v>
      </c>
      <c r="C242" s="304">
        <v>512</v>
      </c>
      <c r="D242" s="319">
        <v>44000000</v>
      </c>
      <c r="E242" s="304">
        <f>C242*8</f>
        <v>4096</v>
      </c>
      <c r="F242" s="315">
        <f>3*E242/D242</f>
        <v>0.0002792727272727273</v>
      </c>
      <c r="G242" s="316">
        <f>($B$218+$B$213+$B$214+(2*$B$219)+((2*$G$11)+$G$12+(3*$G$14)+$G$13)/$D242)</f>
        <v>0.00023609092727272727</v>
      </c>
      <c r="H242" s="325">
        <f>F242/(F242+G242)</f>
        <v>0.5418944949058213</v>
      </c>
      <c r="I242" s="306">
        <f>D242*H242</f>
        <v>23843357.775856137</v>
      </c>
      <c r="J242" s="304"/>
      <c r="K242" s="205"/>
      <c r="L242" s="320"/>
      <c r="M242" s="321">
        <f>K242/(K242+G242)</f>
        <v>0</v>
      </c>
      <c r="N242" s="322">
        <f>D242*M242</f>
        <v>0</v>
      </c>
    </row>
    <row r="243" spans="1:14" ht="12.75">
      <c r="A243" s="45"/>
      <c r="B243" s="28" t="s">
        <v>327</v>
      </c>
      <c r="C243" s="304">
        <v>512</v>
      </c>
      <c r="D243" s="319">
        <v>44000000</v>
      </c>
      <c r="E243" s="304">
        <f>C243*8</f>
        <v>4096</v>
      </c>
      <c r="F243" s="315">
        <f>3*E243/D243</f>
        <v>0.0002792727272727273</v>
      </c>
      <c r="G243" s="316">
        <f>($B$218+$B$213+$B$214+(2*$B$219)+((2*$B$11)+$B$12+(3*$B$14)+$B$13)/$D243)</f>
        <v>0.00023504547272727274</v>
      </c>
      <c r="H243" s="325">
        <f>F243/(F243+G243)</f>
        <v>0.5429960037827308</v>
      </c>
      <c r="I243" s="306">
        <f>D243*H243</f>
        <v>23891824.166440155</v>
      </c>
      <c r="J243" s="304"/>
      <c r="K243" s="205"/>
      <c r="L243" s="320"/>
      <c r="M243" s="321">
        <f>K243/(K243+G243)</f>
        <v>0</v>
      </c>
      <c r="N243" s="322">
        <f>D243*M243</f>
        <v>0</v>
      </c>
    </row>
    <row r="244" spans="1:14" ht="12.75">
      <c r="A244" s="45"/>
      <c r="B244" s="28" t="s">
        <v>328</v>
      </c>
      <c r="C244" s="304">
        <v>512</v>
      </c>
      <c r="D244" s="319">
        <v>44000000</v>
      </c>
      <c r="E244" s="304">
        <f>C244*8</f>
        <v>4096</v>
      </c>
      <c r="F244" s="315">
        <f>3*E244/D244</f>
        <v>0.0002792727272727273</v>
      </c>
      <c r="G244" s="316">
        <f>($B$218+$B$213+$B$214+(2*$B$219)+((2*$K$11)+$K$12+(3*$K$14)+$K$13)/$D244)</f>
        <v>0.0002379091090909091</v>
      </c>
      <c r="H244" s="325">
        <f>F244/(F244+G244)</f>
        <v>0.5399894343473569</v>
      </c>
      <c r="I244" s="306">
        <f>D244*H244</f>
        <v>23759535.111283705</v>
      </c>
      <c r="J244" s="304"/>
      <c r="K244" s="205"/>
      <c r="L244" s="320"/>
      <c r="M244" s="321">
        <f>K244/(K244+G244)</f>
        <v>0</v>
      </c>
      <c r="N244" s="322">
        <f>D244*M244</f>
        <v>0</v>
      </c>
    </row>
    <row r="245" spans="1:14" ht="12.75">
      <c r="A245" s="45"/>
      <c r="B245" s="28" t="s">
        <v>329</v>
      </c>
      <c r="C245" s="304">
        <v>512</v>
      </c>
      <c r="D245" s="319">
        <v>44000000</v>
      </c>
      <c r="E245" s="304">
        <f>C245*8</f>
        <v>4096</v>
      </c>
      <c r="F245" s="315">
        <f>3*E245/D245</f>
        <v>0.0002792727272727273</v>
      </c>
      <c r="G245" s="316">
        <f>(3*$B$214+2*$B$216+(5*$B$219)+((5*$G$15)+(3*$K$16)+(3*$G$18))/$D245)</f>
        <v>0.0006454545454545454</v>
      </c>
      <c r="H245" s="325">
        <f>F245/(F245+G245)</f>
        <v>0.3020055053086905</v>
      </c>
      <c r="I245" s="306">
        <f>D245*H245</f>
        <v>13288242.233582383</v>
      </c>
      <c r="J245" s="304"/>
      <c r="K245" s="304"/>
      <c r="L245" s="304"/>
      <c r="M245" s="321">
        <f>K245/(K245+G245)</f>
        <v>0</v>
      </c>
      <c r="N245" s="322">
        <f>D245*M245</f>
        <v>0</v>
      </c>
    </row>
    <row r="246" spans="1:14" ht="12.75">
      <c r="A246" s="45"/>
      <c r="B246" s="28"/>
      <c r="C246" s="304"/>
      <c r="D246" s="319"/>
      <c r="E246" s="304"/>
      <c r="F246" s="315"/>
      <c r="G246" s="316"/>
      <c r="H246" s="327"/>
      <c r="I246" s="309"/>
      <c r="J246" s="304"/>
      <c r="K246" s="304"/>
      <c r="L246" s="304"/>
      <c r="M246" s="321"/>
      <c r="N246" s="322"/>
    </row>
    <row r="247" spans="1:14" ht="12.75">
      <c r="A247" s="45"/>
      <c r="B247" s="28" t="s">
        <v>330</v>
      </c>
      <c r="C247" s="304">
        <v>1514</v>
      </c>
      <c r="D247" s="319">
        <v>44000000</v>
      </c>
      <c r="E247" s="304">
        <f>C247*8</f>
        <v>12112</v>
      </c>
      <c r="F247" s="315">
        <f>3*E247/D247</f>
        <v>0.0008258181818181818</v>
      </c>
      <c r="G247" s="316">
        <f>($B$218+$B$213+$B$214+(2*$B$219)+((2*$G$11)+$G$12+(3*$G$14)+$G$13)/$D247)</f>
        <v>0.00023609092727272727</v>
      </c>
      <c r="H247" s="325">
        <f>F247/(F247+G247)</f>
        <v>0.7776731311073858</v>
      </c>
      <c r="I247" s="306">
        <f>D247*H247</f>
        <v>34217617.76872498</v>
      </c>
      <c r="J247" s="304"/>
      <c r="K247" s="205"/>
      <c r="L247" s="320"/>
      <c r="M247" s="321">
        <f>K247/(K247+G247)</f>
        <v>0</v>
      </c>
      <c r="N247" s="322">
        <f>D247*M247</f>
        <v>0</v>
      </c>
    </row>
    <row r="248" spans="1:14" ht="12.75">
      <c r="A248" s="45"/>
      <c r="B248" s="28" t="s">
        <v>327</v>
      </c>
      <c r="C248" s="304">
        <v>1514</v>
      </c>
      <c r="D248" s="319">
        <v>44000000</v>
      </c>
      <c r="E248" s="304">
        <f>C248*8</f>
        <v>12112</v>
      </c>
      <c r="F248" s="315">
        <f>3*E248/D248</f>
        <v>0.0008258181818181818</v>
      </c>
      <c r="G248" s="316">
        <f>($B$218+$B$213+$B$214+(2*$B$219)+((2*$B$11)+$B$12+(3*$B$14)+$B$13)/$D248)</f>
        <v>0.00023504547272727274</v>
      </c>
      <c r="H248" s="325">
        <f>F248/(F248+G248)</f>
        <v>0.7784395084889754</v>
      </c>
      <c r="I248" s="306">
        <f>D248*H248</f>
        <v>34251338.37351491</v>
      </c>
      <c r="J248" s="304"/>
      <c r="K248" s="205"/>
      <c r="L248" s="320"/>
      <c r="M248" s="321">
        <f>K248/(K248+G248)</f>
        <v>0</v>
      </c>
      <c r="N248" s="322">
        <f>D248*M248</f>
        <v>0</v>
      </c>
    </row>
    <row r="249" spans="1:14" ht="12.75">
      <c r="A249" s="45"/>
      <c r="B249" s="28" t="s">
        <v>328</v>
      </c>
      <c r="C249" s="304">
        <v>1514</v>
      </c>
      <c r="D249" s="319">
        <v>44000000</v>
      </c>
      <c r="E249" s="304">
        <f>C249*8</f>
        <v>12112</v>
      </c>
      <c r="F249" s="315">
        <f>3*E249/D249</f>
        <v>0.0008258181818181818</v>
      </c>
      <c r="G249" s="316">
        <f>($B$218+$B$213+$B$214+(2*$B$219)+((2*$K$11)+$K$12+(3*$K$14)+$K$13)/$D249)</f>
        <v>0.0002379091090909091</v>
      </c>
      <c r="H249" s="325">
        <f>F249/(F249+G249)</f>
        <v>0.776343888960877</v>
      </c>
      <c r="I249" s="306">
        <f>D249*H249</f>
        <v>34159131.11427859</v>
      </c>
      <c r="J249" s="304"/>
      <c r="K249" s="205"/>
      <c r="L249" s="320"/>
      <c r="M249" s="321">
        <f>K249/(K249+G249)</f>
        <v>0</v>
      </c>
      <c r="N249" s="322">
        <f>D249*M249</f>
        <v>0</v>
      </c>
    </row>
    <row r="250" spans="1:14" ht="12.75">
      <c r="A250" s="236"/>
      <c r="B250" s="48" t="s">
        <v>329</v>
      </c>
      <c r="C250" s="305">
        <v>1514</v>
      </c>
      <c r="D250" s="324">
        <v>44000000</v>
      </c>
      <c r="E250" s="305">
        <f>C250*8</f>
        <v>12112</v>
      </c>
      <c r="F250" s="318">
        <f>3*E250/D250</f>
        <v>0.0008258181818181818</v>
      </c>
      <c r="G250" s="317">
        <f>(3*$B$214+2*$B$216+(5*$B$219)+((5*$G$15)+(3*$K$16)+(3*$G$18))/$D250)</f>
        <v>0.0006454545454545454</v>
      </c>
      <c r="H250" s="326">
        <f>F250/(F250+G250)</f>
        <v>0.5612951062778052</v>
      </c>
      <c r="I250" s="307">
        <f>D250*H250</f>
        <v>24696984.67622343</v>
      </c>
      <c r="J250" s="305"/>
      <c r="K250" s="305"/>
      <c r="L250" s="305"/>
      <c r="M250" s="376">
        <f>K250/(K250+G250)</f>
        <v>0</v>
      </c>
      <c r="N250" s="377">
        <f>D250*M250</f>
        <v>0</v>
      </c>
    </row>
  </sheetData>
  <printOptions/>
  <pageMargins left="0.75" right="0.75" top="1" bottom="1" header="0.5" footer="0.5"/>
  <pageSetup horizontalDpi="600" verticalDpi="600" orientation="landscape" scale="80" r:id="rId1"/>
  <headerFooter alignWithMargins="0">
    <oddHeader>&amp;LNovember, 2000&amp;RIEEE802.15.3 00/354r2</oddHeader>
    <oddFooter>&amp;LSubmission&amp;C&amp;P&amp;RAllen Heberling, Eastman Kodak, Co.</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Eastman Kodak,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Allen Heberling</dc:creator>
  <cp:keywords/>
  <dc:description/>
  <cp:lastModifiedBy>Allen Heberling</cp:lastModifiedBy>
  <cp:lastPrinted>2000-11-03T21:52:55Z</cp:lastPrinted>
  <dcterms:created xsi:type="dcterms:W3CDTF">1999-06-16T12:01:42Z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