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Cover" sheetId="1" r:id="rId1"/>
    <sheet name="LWC" sheetId="2" r:id="rId2"/>
    <sheet name="R-M" sheetId="3" r:id="rId3"/>
    <sheet name="XS" sheetId="4" r:id="rId4"/>
    <sheet name="BC" sheetId="5" r:id="rId5"/>
    <sheet name="SG" sheetId="6" r:id="rId6"/>
    <sheet name="Kdk" sheetId="7" r:id="rId7"/>
    <sheet name="TI" sheetId="8" r:id="rId8"/>
    <sheet name="MAC Summary" sheetId="9" r:id="rId9"/>
  </sheets>
  <definedNames>
    <definedName name="_xlnm.Print_Area" localSheetId="4">'BC'!$A$1:$O$32</definedName>
    <definedName name="_xlnm.Print_Area" localSheetId="6">'Kdk'!$A$1:$P$31</definedName>
    <definedName name="_xlnm.Print_Area" localSheetId="1">'LWC'!$A$1:$S$51</definedName>
    <definedName name="_xlnm.Print_Area" localSheetId="2">'R-M'!$A$1:$Q$43</definedName>
    <definedName name="_xlnm.Print_Area" localSheetId="5">'SG'!$A$1:$O$30</definedName>
    <definedName name="_xlnm.Print_Area" localSheetId="7">'TI'!$A$1:$O$43</definedName>
    <definedName name="_xlnm.Print_Area" localSheetId="3">'XS'!$A$1:$P$32</definedName>
  </definedNames>
  <calcPr fullCalcOnLoad="1"/>
</workbook>
</file>

<file path=xl/sharedStrings.xml><?xml version="1.0" encoding="utf-8"?>
<sst xmlns="http://schemas.openxmlformats.org/spreadsheetml/2006/main" count="505" uniqueCount="139">
  <si>
    <t>Tb</t>
  </si>
  <si>
    <t>A</t>
  </si>
  <si>
    <t>Rx</t>
  </si>
  <si>
    <t>B</t>
  </si>
  <si>
    <t>Payload (Bytes)</t>
  </si>
  <si>
    <t>Payload (Bits)</t>
  </si>
  <si>
    <t>MAC Hdr, FCS (B) =</t>
  </si>
  <si>
    <t>PHY Hdr Duration (us) =</t>
  </si>
  <si>
    <t>SIFS (us) =</t>
  </si>
  <si>
    <t>EACK Payload (B) =</t>
  </si>
  <si>
    <t>Throughput = Data Rate x Payload Duration/(Payload Duration+Overhead)</t>
  </si>
  <si>
    <t>Payload Duration = Payload Bits/Data Rate</t>
  </si>
  <si>
    <t>Overhead = PHY Hdr Duration + MAC Hdr, FCS Duration + SIFS + EACK Duration + DIFS</t>
  </si>
  <si>
    <t>Payload Duration       (us)</t>
  </si>
  <si>
    <t>Overhead Duration    (us)</t>
  </si>
  <si>
    <t>Tx</t>
  </si>
  <si>
    <t xml:space="preserve">Dp </t>
  </si>
  <si>
    <t>Data Rate (Mbps)</t>
  </si>
  <si>
    <t>Throughput (Mbps)</t>
  </si>
  <si>
    <t>O</t>
  </si>
  <si>
    <t>AirTime (us)</t>
  </si>
  <si>
    <t>Latency0 (us)</t>
  </si>
  <si>
    <t>Latency1 (us)</t>
  </si>
  <si>
    <t>Airtime= Payload Duration + Overhead</t>
  </si>
  <si>
    <t>Latency2 (us)</t>
  </si>
  <si>
    <t>L0</t>
  </si>
  <si>
    <t>L1</t>
  </si>
  <si>
    <t>L2</t>
  </si>
  <si>
    <t>Overhead (%)</t>
  </si>
  <si>
    <t>Do</t>
  </si>
  <si>
    <t>ACK Payload (B) =</t>
  </si>
  <si>
    <t>PIFS (us) =</t>
  </si>
  <si>
    <t>Overhead = PHY Hdr Duration + MAC Hdr, FCS Duration + SIFS + EACK Duration + PIFS</t>
  </si>
  <si>
    <t>EACK (B) =</t>
  </si>
  <si>
    <t>Aggregate Throughput (Mbps)</t>
  </si>
  <si>
    <t>Txab</t>
  </si>
  <si>
    <t>Ind Payload Duration       (us)</t>
  </si>
  <si>
    <t>Tot Overhead Duration    (us)</t>
  </si>
  <si>
    <t>Ind Throughput (Mbps)</t>
  </si>
  <si>
    <t>Tot AirTime (us)</t>
  </si>
  <si>
    <t>Tot Overhead (%)</t>
  </si>
  <si>
    <t>Ind Latency1 (us)</t>
  </si>
  <si>
    <t>Ind Latency2 (us)</t>
  </si>
  <si>
    <t>Ind Latency0 (us)</t>
  </si>
  <si>
    <t xml:space="preserve">Scenario 1- Single Access: One Way A-B transmissions </t>
  </si>
  <si>
    <t xml:space="preserve">Scenario 2- Multiple Access: One Way A-B transmission (Asynchronous or Isochronous) + Symmetrical C-D transmissions </t>
  </si>
  <si>
    <t>Ind Latency4 (us)</t>
  </si>
  <si>
    <t>Ind Latency3 (us)</t>
  </si>
  <si>
    <t xml:space="preserve"> Latency1 (us)</t>
  </si>
  <si>
    <t xml:space="preserve"> Latency2 (us)</t>
  </si>
  <si>
    <t xml:space="preserve"> Latency3 (us)</t>
  </si>
  <si>
    <t xml:space="preserve"> Latency4 (us)</t>
  </si>
  <si>
    <t>L3</t>
  </si>
  <si>
    <t>L4</t>
  </si>
  <si>
    <t>Latency3 (us)</t>
  </si>
  <si>
    <t>Latency4 (us)</t>
  </si>
  <si>
    <t>Processing Latency (us) =</t>
  </si>
  <si>
    <t xml:space="preserve">CBER4       (  )    </t>
  </si>
  <si>
    <t>LatencyN=Time to transfer data from source to destination, including N retransmissions</t>
  </si>
  <si>
    <t>CBERN= Corrected Bit Error Rate, Inverse of number of bits in between errors given N retransmissions</t>
  </si>
  <si>
    <r>
      <t xml:space="preserve">FER,  </t>
    </r>
    <r>
      <rPr>
        <vertAlign val="subscript"/>
        <sz val="10"/>
        <rFont val="Arial"/>
        <family val="2"/>
      </rPr>
      <t>UWB, Eb/NO=20</t>
    </r>
    <r>
      <rPr>
        <sz val="10"/>
        <rFont val="Arial"/>
        <family val="2"/>
      </rPr>
      <t xml:space="preserve"> =</t>
    </r>
  </si>
  <si>
    <r>
      <t xml:space="preserve">FER,  </t>
    </r>
    <r>
      <rPr>
        <vertAlign val="subscript"/>
        <sz val="10"/>
        <rFont val="Arial"/>
        <family val="2"/>
      </rPr>
      <t>MSK, Eb/NO=20</t>
    </r>
    <r>
      <rPr>
        <sz val="10"/>
        <rFont val="Arial"/>
        <family val="2"/>
      </rPr>
      <t xml:space="preserve"> =</t>
    </r>
  </si>
  <si>
    <r>
      <t xml:space="preserve">FER,  </t>
    </r>
    <r>
      <rPr>
        <vertAlign val="subscript"/>
        <sz val="10"/>
        <rFont val="Arial"/>
        <family val="2"/>
      </rPr>
      <t>64QAM, Eb/NO=25</t>
    </r>
    <r>
      <rPr>
        <sz val="10"/>
        <rFont val="Arial"/>
        <family val="2"/>
      </rPr>
      <t xml:space="preserve"> =</t>
    </r>
  </si>
  <si>
    <r>
      <t xml:space="preserve">FER,  </t>
    </r>
    <r>
      <rPr>
        <vertAlign val="subscript"/>
        <sz val="10"/>
        <rFont val="Arial"/>
        <family val="2"/>
      </rPr>
      <t>SGCQPSK, Eb/NO=20</t>
    </r>
    <r>
      <rPr>
        <sz val="10"/>
        <rFont val="Arial"/>
        <family val="2"/>
      </rPr>
      <t xml:space="preserve"> =</t>
    </r>
  </si>
  <si>
    <r>
      <t xml:space="preserve">FER,  </t>
    </r>
    <r>
      <rPr>
        <vertAlign val="subscript"/>
        <sz val="10"/>
        <rFont val="Arial"/>
        <family val="2"/>
      </rPr>
      <t>C16QAM, Eb/NO=25</t>
    </r>
    <r>
      <rPr>
        <sz val="10"/>
        <rFont val="Arial"/>
        <family val="2"/>
      </rPr>
      <t xml:space="preserve"> =</t>
    </r>
  </si>
  <si>
    <r>
      <t xml:space="preserve">FER,  </t>
    </r>
    <r>
      <rPr>
        <vertAlign val="subscript"/>
        <sz val="10"/>
        <rFont val="Arial"/>
        <family val="2"/>
      </rPr>
      <t>UC16QAM, Eb/NO=25</t>
    </r>
    <r>
      <rPr>
        <sz val="10"/>
        <rFont val="Arial"/>
        <family val="2"/>
      </rPr>
      <t xml:space="preserve"> =</t>
    </r>
  </si>
  <si>
    <t xml:space="preserve">CBER3          (  )    </t>
  </si>
  <si>
    <t xml:space="preserve"> Latency5 (us)</t>
  </si>
  <si>
    <t xml:space="preserve">CBER5          (  )    </t>
  </si>
  <si>
    <t xml:space="preserve">CBER6          (  )    </t>
  </si>
  <si>
    <t xml:space="preserve"> Latency6 (us)</t>
  </si>
  <si>
    <r>
      <t xml:space="preserve">FER,  </t>
    </r>
    <r>
      <rPr>
        <vertAlign val="subscript"/>
        <sz val="10"/>
        <rFont val="Arial"/>
        <family val="2"/>
      </rPr>
      <t>C8PSK OFDM, Eb/NO=20</t>
    </r>
    <r>
      <rPr>
        <sz val="10"/>
        <rFont val="Arial"/>
        <family val="2"/>
      </rPr>
      <t xml:space="preserve"> =</t>
    </r>
  </si>
  <si>
    <r>
      <t xml:space="preserve">FER,  </t>
    </r>
    <r>
      <rPr>
        <vertAlign val="subscript"/>
        <sz val="10"/>
        <rFont val="Arial"/>
        <family val="2"/>
      </rPr>
      <t>U8PSK OFDM, Eb/NO=20</t>
    </r>
    <r>
      <rPr>
        <sz val="10"/>
        <rFont val="Arial"/>
        <family val="2"/>
      </rPr>
      <t xml:space="preserve"> =</t>
    </r>
  </si>
  <si>
    <t xml:space="preserve">CBER5       (  )    </t>
  </si>
  <si>
    <t>Latency5 (us)</t>
  </si>
  <si>
    <t>FER,  DQPSK, Eb/NO=20 =</t>
  </si>
  <si>
    <t>FER,  8QAM, Eb/NO=25 =</t>
  </si>
  <si>
    <t>FER,  16QAM, Eb/NO=25 =</t>
  </si>
  <si>
    <t>IEEE P802.15</t>
  </si>
  <si>
    <t>Wireless Personal Area Networks</t>
  </si>
  <si>
    <t>Project</t>
  </si>
  <si>
    <t>IEEE P802.15 Working Group for Wireless Personal Area Networks (WPANs)</t>
  </si>
  <si>
    <t>Title</t>
  </si>
  <si>
    <t>Date Submitted</t>
  </si>
  <si>
    <t>[27 October, 2000]</t>
  </si>
  <si>
    <t>Source</t>
  </si>
  <si>
    <t>[Carlos A Rios]</t>
  </si>
  <si>
    <t>[LinCom Wireless, Inc]</t>
  </si>
  <si>
    <t>[5120 W Goldleaf Circle, Suite 400</t>
  </si>
  <si>
    <t>Los Angeles, CA 90056]</t>
  </si>
  <si>
    <t>Voice: [(408) 202-6294]</t>
  </si>
  <si>
    <t>Fax: [ (408) 399-9704  ]</t>
  </si>
  <si>
    <t>E-mail: [riosc@lincom.com ]</t>
  </si>
  <si>
    <t>Re:</t>
  </si>
  <si>
    <t>Abstract</t>
  </si>
  <si>
    <t>Purpose</t>
  </si>
  <si>
    <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</si>
  <si>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</si>
  <si>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</si>
  <si>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</si>
  <si>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</si>
  <si>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LCW HRWPAN Throughput Calculations</t>
  </si>
  <si>
    <t>LWC PHY and LWC MAC Throughput, Overhead Efficiency, Airtime, Latency and Corrected BER Calculations</t>
  </si>
  <si>
    <t>Radiata/Motorola PHY and LWC MAC Throughput, Overhead Efficiency, Airtime, Latency and Corrected BER Calculations</t>
  </si>
  <si>
    <t>Xtreme Spectrum PHY and LWC MAC Throughput, Overhead Efficiency, Airtime, Latency and Corrected BER Calculations</t>
  </si>
  <si>
    <t>Broadcom PHY and LWC MAC Throughput, Overhead Efficiency, Airtime, Latency and Corrected BER Calculations</t>
  </si>
  <si>
    <t>Supergold PHY and LWC MAC Throughput, Overhead Efficiency, Airtime, Latency and Corrected BER Calculations</t>
  </si>
  <si>
    <t>Kodak PHY and LWC MAC Throughput, Overhead Efficiency, Airtime, Latency and Corrected BER Calculations</t>
  </si>
  <si>
    <t>Texas Instruments PHY and LWC MAC Throughput, Overhead Efficiency, Airtime, Latency and Corrected BER Calculations</t>
  </si>
  <si>
    <t>PHY</t>
  </si>
  <si>
    <t>LCW-20</t>
  </si>
  <si>
    <t>LCW-30</t>
  </si>
  <si>
    <t>LCW-40</t>
  </si>
  <si>
    <t>RadMot-21.7</t>
  </si>
  <si>
    <t>RadMot-28.9</t>
  </si>
  <si>
    <t>RadMot-43.3</t>
  </si>
  <si>
    <t>XS-50</t>
  </si>
  <si>
    <t>BC-20</t>
  </si>
  <si>
    <t>SG-21.7</t>
  </si>
  <si>
    <t>Kdk-22</t>
  </si>
  <si>
    <t xml:space="preserve"> Latency (us)</t>
  </si>
  <si>
    <t xml:space="preserve">CBER          (  )    </t>
  </si>
  <si>
    <t>Ind Latency5 (us)</t>
  </si>
  <si>
    <t>Number of Retransmissions  ( )</t>
  </si>
  <si>
    <t>TI-22</t>
  </si>
  <si>
    <t>TI-33</t>
  </si>
  <si>
    <t>TI-44</t>
  </si>
  <si>
    <t>Latency11 (us)</t>
  </si>
  <si>
    <t xml:space="preserve">CBER11       (  )    </t>
  </si>
  <si>
    <t>Individual Throughput (Mbps)</t>
  </si>
  <si>
    <t>Overhead  (%)</t>
  </si>
  <si>
    <t xml:space="preserve">Single Access: One Way A-B transmissions </t>
  </si>
  <si>
    <t>Multiple Access: One Way A-B transmissions, Bidirectional C-D transmissions</t>
  </si>
  <si>
    <r>
      <t>[00355r0P802-15</t>
    </r>
    <r>
      <rPr>
        <sz val="12"/>
        <color indexed="8"/>
        <rFont val="Times New Roman"/>
        <family val="1"/>
      </rPr>
      <t>_TG3_LCW_HRWPAN_PHY_ Proposal,</t>
    </r>
  </si>
  <si>
    <t xml:space="preserve"> 00356r0P802-15_TG3_LCW_HRWPAN_MAC_Proposal,</t>
  </si>
  <si>
    <t xml:space="preserve"> 00357r0P802-15_TG3_LCW_HRWPAN_PHY_MAC_Proposal Backup</t>
  </si>
  <si>
    <t>[Data throughput calculations for the LinComWireless 802.15.3  PHY and MAC Proposals, per documents 00355r0, 00356r0 and 00357r0]</t>
  </si>
  <si>
    <t>November 2000</t>
  </si>
  <si>
    <t>IEEE P802.15-00/358r0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</si>
</sst>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 numFmtId="166" formatCode="&quot;Yes&quot;;&quot;Yes&quot;;&quot;No&quot;"/>
    <numFmt numFmtId="167" formatCode="&quot;True&quot;;&quot;True&quot;;&quot;False&quot;"/>
    <numFmt numFmtId="168" formatCode="&quot;On&quot;;&quot;On&quot;;&quot;Off&quot;"/>
    <numFmt numFmtId="169" formatCode="mmmm\-yy"/>
    <numFmt numFmtId="170" formatCode="d\-mmm\-yyyy"/>
  </numFmts>
  <fonts count="14">
    <font>
      <sz val="10"/>
      <name val="Arial"/>
      <family val="0"/>
    </font>
    <font>
      <u val="single"/>
      <sz val="10"/>
      <color indexed="12"/>
      <name val="Arial"/>
      <family val="0"/>
    </font>
    <font>
      <u val="single"/>
      <sz val="10"/>
      <color indexed="36"/>
      <name val="Arial"/>
      <family val="0"/>
    </font>
    <font>
      <b/>
      <sz val="10"/>
      <name val="Arial"/>
      <family val="2"/>
    </font>
    <font>
      <vertAlign val="subscript"/>
      <sz val="10"/>
      <name val="Arial"/>
      <family val="2"/>
    </font>
    <font>
      <sz val="8"/>
      <name val="Arial"/>
      <family val="2"/>
    </font>
    <font>
      <b/>
      <sz val="8"/>
      <name val="Arial"/>
      <family val="2"/>
    </font>
    <font>
      <b/>
      <sz val="14"/>
      <name val="Times New Roman"/>
      <family val="1"/>
    </font>
    <font>
      <sz val="12"/>
      <name val="Times New Roman"/>
      <family val="1"/>
    </font>
    <font>
      <sz val="12"/>
      <color indexed="8"/>
      <name val="Times New Roman"/>
      <family val="1"/>
    </font>
    <font>
      <b/>
      <sz val="11"/>
      <name val="Times New Roman"/>
      <family val="1"/>
    </font>
    <font>
      <sz val="12"/>
      <name val="Arial"/>
      <family val="2"/>
    </font>
    <font>
      <sz val="20"/>
      <name val="Times New Roman"/>
      <family val="1"/>
    </font>
    <font>
      <b/>
      <sz val="12"/>
      <name val="Times New Roman"/>
      <family val="1"/>
    </font>
  </fonts>
  <fills count="2">
    <fill>
      <patternFill/>
    </fill>
    <fill>
      <patternFill patternType="gray125"/>
    </fill>
  </fills>
  <borders count="5">
    <border>
      <left/>
      <right/>
      <top/>
      <bottom/>
      <diagonal/>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left"/>
    </xf>
    <xf numFmtId="1"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right"/>
    </xf>
    <xf numFmtId="0" fontId="3" fillId="0" borderId="0" xfId="0" applyFont="1" applyAlignment="1">
      <alignment/>
    </xf>
    <xf numFmtId="0" fontId="5" fillId="0" borderId="0" xfId="0" applyFont="1" applyAlignment="1">
      <alignment horizontal="center"/>
    </xf>
    <xf numFmtId="0" fontId="0" fillId="0" borderId="0" xfId="0" applyAlignment="1">
      <alignment/>
    </xf>
    <xf numFmtId="11" fontId="0" fillId="0" borderId="0" xfId="0" applyNumberFormat="1" applyAlignment="1">
      <alignment horizontal="center"/>
    </xf>
    <xf numFmtId="1" fontId="0" fillId="0" borderId="0" xfId="0" applyNumberFormat="1" applyBorder="1" applyAlignment="1">
      <alignment horizontal="center"/>
    </xf>
    <xf numFmtId="2" fontId="0" fillId="0" borderId="1" xfId="0" applyNumberFormat="1" applyBorder="1" applyAlignment="1">
      <alignment horizontal="center"/>
    </xf>
    <xf numFmtId="11" fontId="0" fillId="0" borderId="1" xfId="0" applyNumberFormat="1"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1" fontId="0" fillId="0" borderId="1" xfId="0" applyNumberFormat="1" applyBorder="1" applyAlignment="1">
      <alignment horizontal="center"/>
    </xf>
    <xf numFmtId="164" fontId="0" fillId="0" borderId="0" xfId="0" applyNumberFormat="1" applyBorder="1" applyAlignment="1">
      <alignment horizontal="center"/>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6" fillId="0" borderId="0" xfId="0" applyFont="1" applyAlignment="1">
      <alignment/>
    </xf>
    <xf numFmtId="0" fontId="5" fillId="0" borderId="0" xfId="0" applyFont="1" applyAlignment="1">
      <alignment horizontal="center" wrapText="1"/>
    </xf>
    <xf numFmtId="0" fontId="5" fillId="0" borderId="0" xfId="0" applyFont="1" applyAlignment="1">
      <alignment/>
    </xf>
    <xf numFmtId="1" fontId="5" fillId="0" borderId="0" xfId="0" applyNumberFormat="1" applyFont="1" applyAlignment="1">
      <alignment horizontal="center"/>
    </xf>
    <xf numFmtId="164" fontId="5" fillId="0" borderId="0" xfId="0" applyNumberFormat="1" applyFont="1" applyAlignment="1">
      <alignment horizontal="center"/>
    </xf>
    <xf numFmtId="2" fontId="5" fillId="0" borderId="0" xfId="0" applyNumberFormat="1" applyFont="1" applyAlignment="1">
      <alignment horizontal="center"/>
    </xf>
    <xf numFmtId="11" fontId="5" fillId="0" borderId="0" xfId="0" applyNumberFormat="1" applyFont="1" applyAlignment="1">
      <alignment horizontal="center"/>
    </xf>
    <xf numFmtId="0" fontId="5" fillId="0" borderId="1" xfId="0" applyFont="1" applyBorder="1" applyAlignment="1">
      <alignment horizontal="center"/>
    </xf>
    <xf numFmtId="1" fontId="5" fillId="0" borderId="1" xfId="0" applyNumberFormat="1" applyFont="1" applyBorder="1" applyAlignment="1">
      <alignment horizontal="center"/>
    </xf>
    <xf numFmtId="2" fontId="5" fillId="0" borderId="1" xfId="0" applyNumberFormat="1" applyFont="1" applyBorder="1" applyAlignment="1">
      <alignment horizontal="center"/>
    </xf>
    <xf numFmtId="164" fontId="5" fillId="0" borderId="1" xfId="0" applyNumberFormat="1" applyFont="1" applyBorder="1" applyAlignment="1">
      <alignment horizontal="center"/>
    </xf>
    <xf numFmtId="11" fontId="5" fillId="0" borderId="1" xfId="0" applyNumberFormat="1" applyFont="1" applyBorder="1" applyAlignment="1">
      <alignment horizontal="center"/>
    </xf>
    <xf numFmtId="0" fontId="7" fillId="0" borderId="0" xfId="0" applyFont="1" applyAlignment="1">
      <alignment horizontal="center"/>
    </xf>
    <xf numFmtId="0" fontId="8" fillId="0" borderId="2" xfId="0" applyFont="1" applyBorder="1" applyAlignment="1">
      <alignment vertical="top" wrapText="1"/>
    </xf>
    <xf numFmtId="0" fontId="8" fillId="0" borderId="0" xfId="0" applyFont="1" applyAlignment="1">
      <alignment vertical="top" wrapText="1"/>
    </xf>
    <xf numFmtId="0" fontId="12" fillId="0" borderId="0" xfId="0" applyFont="1" applyAlignment="1">
      <alignment/>
    </xf>
    <xf numFmtId="0" fontId="8" fillId="0" borderId="3" xfId="0" applyFont="1" applyBorder="1" applyAlignment="1">
      <alignment vertical="top" wrapText="1"/>
    </xf>
    <xf numFmtId="0" fontId="0" fillId="0" borderId="3" xfId="0" applyBorder="1" applyAlignment="1">
      <alignment vertical="top" wrapText="1"/>
    </xf>
    <xf numFmtId="0" fontId="8" fillId="0" borderId="4" xfId="0" applyFont="1" applyBorder="1" applyAlignment="1">
      <alignment vertical="top" wrapText="1"/>
    </xf>
    <xf numFmtId="0" fontId="10" fillId="0" borderId="0" xfId="0" applyFont="1" applyAlignment="1">
      <alignment horizontal="center"/>
    </xf>
    <xf numFmtId="0" fontId="8" fillId="0" borderId="0" xfId="0" applyFont="1" applyAlignment="1">
      <alignment horizontal="left"/>
    </xf>
    <xf numFmtId="0" fontId="11" fillId="0" borderId="0" xfId="0" applyFont="1" applyAlignment="1">
      <alignment/>
    </xf>
    <xf numFmtId="0" fontId="6" fillId="0" borderId="0" xfId="0" applyFont="1" applyAlignment="1">
      <alignment horizontal="left"/>
    </xf>
    <xf numFmtId="164" fontId="0" fillId="0" borderId="0" xfId="0" applyNumberFormat="1" applyAlignment="1">
      <alignment/>
    </xf>
    <xf numFmtId="0" fontId="8" fillId="0" borderId="4" xfId="0" applyFont="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9" fillId="0" borderId="3" xfId="0" applyFont="1" applyBorder="1" applyAlignment="1">
      <alignment vertical="top" wrapText="1"/>
    </xf>
    <xf numFmtId="0" fontId="7" fillId="0" borderId="4" xfId="0" applyFont="1" applyBorder="1" applyAlignment="1">
      <alignment vertical="top" wrapText="1"/>
    </xf>
    <xf numFmtId="0" fontId="5" fillId="0" borderId="0" xfId="0" applyFont="1" applyAlignment="1">
      <alignment horizontal="left"/>
    </xf>
    <xf numFmtId="0" fontId="5" fillId="0" borderId="0" xfId="0" applyFont="1"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center"/>
    </xf>
    <xf numFmtId="0" fontId="0" fillId="0" borderId="0" xfId="0" applyAlignment="1">
      <alignment/>
    </xf>
    <xf numFmtId="11" fontId="0" fillId="0" borderId="0" xfId="0" applyNumberFormat="1" applyBorder="1" applyAlignment="1">
      <alignment horizontal="center"/>
    </xf>
    <xf numFmtId="0" fontId="13" fillId="0" borderId="0" xfId="0" applyNumberFormat="1" applyFont="1" applyAlignment="1" quotePrefix="1">
      <alignment horizontal="left"/>
    </xf>
    <xf numFmtId="0" fontId="13"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0"/>
  <sheetViews>
    <sheetView tabSelected="1" workbookViewId="0" topLeftCell="A1">
      <selection activeCell="D1" sqref="D1"/>
    </sheetView>
  </sheetViews>
  <sheetFormatPr defaultColWidth="9.140625" defaultRowHeight="12.75"/>
  <cols>
    <col min="2" max="2" width="16.28125" style="0" customWidth="1"/>
    <col min="3" max="3" width="71.8515625" style="0" customWidth="1"/>
    <col min="4" max="4" width="28.7109375" style="0" customWidth="1"/>
  </cols>
  <sheetData>
    <row r="1" spans="2:4" ht="26.25">
      <c r="B1" s="59" t="s">
        <v>137</v>
      </c>
      <c r="C1" s="37"/>
      <c r="D1" s="60" t="s">
        <v>138</v>
      </c>
    </row>
    <row r="2" ht="24.75" customHeight="1"/>
    <row r="3" ht="17.25" customHeight="1">
      <c r="C3" s="34" t="s">
        <v>78</v>
      </c>
    </row>
    <row r="4" ht="17.25" customHeight="1">
      <c r="C4" s="34" t="s">
        <v>79</v>
      </c>
    </row>
    <row r="5" ht="12" customHeight="1">
      <c r="B5" s="34"/>
    </row>
    <row r="6" spans="2:4" ht="22.5" customHeight="1">
      <c r="B6" s="35" t="s">
        <v>80</v>
      </c>
      <c r="C6" s="46" t="s">
        <v>81</v>
      </c>
      <c r="D6" s="46"/>
    </row>
    <row r="7" spans="2:4" ht="20.25" customHeight="1">
      <c r="B7" s="35" t="s">
        <v>82</v>
      </c>
      <c r="C7" s="51" t="s">
        <v>101</v>
      </c>
      <c r="D7" s="51"/>
    </row>
    <row r="8" spans="2:4" ht="19.5" customHeight="1">
      <c r="B8" s="35" t="s">
        <v>83</v>
      </c>
      <c r="C8" s="46" t="s">
        <v>84</v>
      </c>
      <c r="D8" s="46"/>
    </row>
    <row r="9" spans="2:4" ht="23.25" customHeight="1">
      <c r="B9" s="47" t="s">
        <v>85</v>
      </c>
      <c r="C9" s="35" t="s">
        <v>86</v>
      </c>
      <c r="D9" s="35" t="s">
        <v>90</v>
      </c>
    </row>
    <row r="10" spans="2:4" ht="24.75" customHeight="1">
      <c r="B10" s="48"/>
      <c r="C10" s="36" t="s">
        <v>87</v>
      </c>
      <c r="D10" s="36" t="s">
        <v>91</v>
      </c>
    </row>
    <row r="11" spans="2:4" ht="21.75" customHeight="1">
      <c r="B11" s="48"/>
      <c r="C11" s="36" t="s">
        <v>88</v>
      </c>
      <c r="D11" s="36" t="s">
        <v>92</v>
      </c>
    </row>
    <row r="12" spans="2:4" ht="20.25" customHeight="1">
      <c r="B12" s="49"/>
      <c r="C12" s="38" t="s">
        <v>89</v>
      </c>
      <c r="D12" s="39"/>
    </row>
    <row r="13" spans="2:4" ht="21" customHeight="1">
      <c r="B13" s="47" t="s">
        <v>93</v>
      </c>
      <c r="C13" s="47" t="s">
        <v>133</v>
      </c>
      <c r="D13" s="47"/>
    </row>
    <row r="14" spans="2:4" ht="21" customHeight="1">
      <c r="B14" s="48"/>
      <c r="C14" s="50" t="s">
        <v>134</v>
      </c>
      <c r="D14" s="50"/>
    </row>
    <row r="15" spans="2:3" ht="21" customHeight="1">
      <c r="B15" s="49"/>
      <c r="C15" s="42" t="s">
        <v>135</v>
      </c>
    </row>
    <row r="16" spans="2:4" ht="40.5" customHeight="1">
      <c r="B16" s="35" t="s">
        <v>94</v>
      </c>
      <c r="C16" s="46" t="s">
        <v>136</v>
      </c>
      <c r="D16" s="46"/>
    </row>
    <row r="17" spans="2:4" ht="15.75" customHeight="1">
      <c r="B17" s="35" t="s">
        <v>95</v>
      </c>
      <c r="C17" s="46" t="s">
        <v>96</v>
      </c>
      <c r="D17" s="46"/>
    </row>
    <row r="18" spans="2:4" ht="69.75" customHeight="1">
      <c r="B18" s="40" t="s">
        <v>97</v>
      </c>
      <c r="C18" s="46" t="s">
        <v>98</v>
      </c>
      <c r="D18" s="46"/>
    </row>
    <row r="19" spans="2:4" ht="39.75" customHeight="1">
      <c r="B19" s="38" t="s">
        <v>99</v>
      </c>
      <c r="C19" s="46" t="s">
        <v>100</v>
      </c>
      <c r="D19" s="46"/>
    </row>
    <row r="20" ht="14.25">
      <c r="B20" s="41"/>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51"/>
  <sheetViews>
    <sheetView zoomScale="75" zoomScaleNormal="75" workbookViewId="0" topLeftCell="A1">
      <selection activeCell="Q39" sqref="Q39"/>
    </sheetView>
  </sheetViews>
  <sheetFormatPr defaultColWidth="9.140625" defaultRowHeight="12.75"/>
  <cols>
    <col min="1" max="1" width="10.57421875" style="0" customWidth="1"/>
    <col min="2" max="2" width="9.00390625" style="0" customWidth="1"/>
    <col min="3" max="3" width="7.421875" style="0" customWidth="1"/>
    <col min="4" max="4" width="7.7109375" style="0" customWidth="1"/>
    <col min="5" max="5" width="8.28125" style="0" customWidth="1"/>
    <col min="7" max="7" width="9.28125" style="0" customWidth="1"/>
    <col min="8" max="8" width="7.8515625" style="0" customWidth="1"/>
    <col min="9" max="9" width="8.28125" style="0" customWidth="1"/>
    <col min="10" max="10" width="7.8515625" style="0" customWidth="1"/>
    <col min="11" max="12" width="0" style="0" hidden="1" customWidth="1"/>
    <col min="13" max="13" width="8.00390625" style="0" customWidth="1"/>
    <col min="14" max="14" width="8.7109375" style="0" hidden="1" customWidth="1"/>
    <col min="15" max="15" width="7.421875" style="0" customWidth="1"/>
    <col min="16" max="17" width="8.140625" style="0" customWidth="1"/>
    <col min="18" max="18" width="7.7109375" style="0" customWidth="1"/>
    <col min="19" max="19" width="8.140625" style="0" customWidth="1"/>
  </cols>
  <sheetData>
    <row r="1" spans="1:19" ht="15">
      <c r="A1" s="19"/>
      <c r="B1" s="43" t="s">
        <v>102</v>
      </c>
      <c r="D1" s="19"/>
      <c r="E1" s="19"/>
      <c r="F1" s="19"/>
      <c r="G1" s="19"/>
      <c r="H1" s="19"/>
      <c r="I1" s="19"/>
      <c r="J1" s="19"/>
      <c r="K1" s="19"/>
      <c r="L1" s="19"/>
      <c r="M1" s="19"/>
      <c r="N1" s="19"/>
      <c r="O1" s="19"/>
      <c r="P1" s="19"/>
      <c r="Q1" s="19"/>
      <c r="R1" s="19"/>
      <c r="S1" s="19"/>
    </row>
    <row r="2" spans="1:19" ht="12.75">
      <c r="A2" s="19"/>
      <c r="B2" s="19"/>
      <c r="C2" s="19"/>
      <c r="D2" s="19"/>
      <c r="E2" s="19"/>
      <c r="F2" s="19"/>
      <c r="G2" s="19"/>
      <c r="H2" s="19"/>
      <c r="I2" s="19"/>
      <c r="J2" s="19"/>
      <c r="K2" s="19"/>
      <c r="L2" s="19"/>
      <c r="M2" s="19"/>
      <c r="N2" s="19"/>
      <c r="O2" s="19"/>
      <c r="P2" s="19"/>
      <c r="Q2" s="19"/>
      <c r="R2" s="19"/>
      <c r="S2" s="19"/>
    </row>
    <row r="3" spans="1:19" ht="12.75">
      <c r="A3" s="19"/>
      <c r="B3" s="19"/>
      <c r="C3" s="19"/>
      <c r="D3" s="19"/>
      <c r="E3" s="19"/>
      <c r="F3" s="19"/>
      <c r="G3" s="19"/>
      <c r="H3" s="19"/>
      <c r="I3" s="19"/>
      <c r="J3" s="19"/>
      <c r="K3" s="19"/>
      <c r="L3" s="19"/>
      <c r="M3" s="19"/>
      <c r="N3" s="19"/>
      <c r="O3" s="19"/>
      <c r="P3" s="19"/>
      <c r="Q3" s="19"/>
      <c r="R3" s="19"/>
      <c r="S3" s="19"/>
    </row>
    <row r="4" spans="1:19" ht="12.75">
      <c r="A4" s="52" t="s">
        <v>10</v>
      </c>
      <c r="B4" s="52"/>
      <c r="C4" s="52"/>
      <c r="D4" s="52"/>
      <c r="E4" s="52"/>
      <c r="F4" s="52"/>
      <c r="G4" s="52"/>
      <c r="H4" s="20"/>
      <c r="I4" s="19"/>
      <c r="J4" s="19"/>
      <c r="K4" s="19"/>
      <c r="L4" s="19"/>
      <c r="M4" s="19"/>
      <c r="N4" s="19"/>
      <c r="O4" s="19"/>
      <c r="P4" s="19"/>
      <c r="Q4" s="19"/>
      <c r="R4" s="19"/>
      <c r="S4" s="19"/>
    </row>
    <row r="5" spans="1:19" ht="12.75">
      <c r="A5" s="52" t="s">
        <v>11</v>
      </c>
      <c r="B5" s="52"/>
      <c r="C5" s="52"/>
      <c r="D5" s="52"/>
      <c r="E5" s="52"/>
      <c r="F5" s="19"/>
      <c r="G5" s="19"/>
      <c r="H5" s="19"/>
      <c r="I5" s="19"/>
      <c r="J5" s="19"/>
      <c r="K5" s="19"/>
      <c r="L5" s="19"/>
      <c r="M5" s="19"/>
      <c r="N5" s="19"/>
      <c r="O5" s="19"/>
      <c r="P5" s="19"/>
      <c r="Q5" s="19"/>
      <c r="R5" s="19"/>
      <c r="S5" s="19"/>
    </row>
    <row r="6" spans="1:19" ht="12.75">
      <c r="A6" s="52" t="s">
        <v>32</v>
      </c>
      <c r="B6" s="52"/>
      <c r="C6" s="52"/>
      <c r="D6" s="52"/>
      <c r="E6" s="52"/>
      <c r="F6" s="52"/>
      <c r="G6" s="52"/>
      <c r="H6" s="20"/>
      <c r="I6" s="19"/>
      <c r="J6" s="19"/>
      <c r="K6" s="19"/>
      <c r="L6" s="19"/>
      <c r="M6" s="19"/>
      <c r="N6" s="19"/>
      <c r="O6" s="19"/>
      <c r="P6" s="19"/>
      <c r="Q6" s="19"/>
      <c r="R6" s="19"/>
      <c r="S6" s="19"/>
    </row>
    <row r="7" spans="1:19" ht="12.75">
      <c r="A7" s="20" t="s">
        <v>23</v>
      </c>
      <c r="B7" s="20"/>
      <c r="C7" s="20"/>
      <c r="D7" s="20"/>
      <c r="E7" s="20"/>
      <c r="F7" s="20"/>
      <c r="G7" s="20"/>
      <c r="H7" s="20"/>
      <c r="I7" s="19"/>
      <c r="J7" s="19"/>
      <c r="K7" s="19"/>
      <c r="L7" s="19"/>
      <c r="M7" s="19"/>
      <c r="N7" s="19"/>
      <c r="O7" s="19"/>
      <c r="P7" s="19"/>
      <c r="Q7" s="19"/>
      <c r="R7" s="19"/>
      <c r="S7" s="19"/>
    </row>
    <row r="8" spans="1:19" ht="12.75">
      <c r="A8" s="20" t="s">
        <v>58</v>
      </c>
      <c r="B8" s="20"/>
      <c r="C8" s="20"/>
      <c r="D8" s="20"/>
      <c r="E8" s="20"/>
      <c r="F8" s="20"/>
      <c r="G8" s="20"/>
      <c r="H8" s="20"/>
      <c r="I8" s="19"/>
      <c r="J8" s="19"/>
      <c r="K8" s="19"/>
      <c r="L8" s="19"/>
      <c r="M8" s="19"/>
      <c r="N8" s="19"/>
      <c r="O8" s="19"/>
      <c r="P8" s="19"/>
      <c r="Q8" s="19"/>
      <c r="R8" s="19"/>
      <c r="S8" s="19"/>
    </row>
    <row r="9" spans="1:19" ht="12.75">
      <c r="A9" s="20" t="s">
        <v>59</v>
      </c>
      <c r="B9" s="20"/>
      <c r="C9" s="20"/>
      <c r="D9" s="20"/>
      <c r="E9" s="20"/>
      <c r="F9" s="20"/>
      <c r="G9" s="20"/>
      <c r="H9" s="20"/>
      <c r="I9" s="19"/>
      <c r="J9" s="19"/>
      <c r="K9" s="19"/>
      <c r="L9" s="19"/>
      <c r="M9" s="19"/>
      <c r="N9" s="19"/>
      <c r="O9" s="19"/>
      <c r="P9" s="19"/>
      <c r="Q9" s="19"/>
      <c r="R9" s="19"/>
      <c r="S9" s="19"/>
    </row>
    <row r="10" spans="1:19" ht="12.75">
      <c r="A10" s="19"/>
      <c r="B10" s="19"/>
      <c r="C10" s="19"/>
      <c r="D10" s="19"/>
      <c r="E10" s="19"/>
      <c r="F10" s="19"/>
      <c r="G10" s="19"/>
      <c r="H10" s="19"/>
      <c r="I10" s="19"/>
      <c r="J10" s="19"/>
      <c r="K10" s="19"/>
      <c r="L10" s="19"/>
      <c r="M10" s="19"/>
      <c r="N10" s="19"/>
      <c r="O10" s="19"/>
      <c r="P10" s="19"/>
      <c r="Q10" s="19"/>
      <c r="R10" s="19"/>
      <c r="S10" s="19"/>
    </row>
    <row r="11" spans="1:19" ht="12.75">
      <c r="A11" s="53" t="s">
        <v>7</v>
      </c>
      <c r="B11" s="53"/>
      <c r="C11" s="9">
        <v>104</v>
      </c>
      <c r="D11" s="19"/>
      <c r="E11" s="19"/>
      <c r="F11" s="19"/>
      <c r="G11" s="19"/>
      <c r="H11" s="19"/>
      <c r="I11" s="19"/>
      <c r="J11" s="19"/>
      <c r="K11" s="19"/>
      <c r="L11" s="19"/>
      <c r="M11" s="19"/>
      <c r="N11" s="19"/>
      <c r="O11" s="19"/>
      <c r="P11" s="19"/>
      <c r="Q11" s="19"/>
      <c r="R11" s="19"/>
      <c r="S11" s="19"/>
    </row>
    <row r="12" spans="1:19" ht="12.75">
      <c r="A12" s="53" t="s">
        <v>6</v>
      </c>
      <c r="B12" s="53"/>
      <c r="C12" s="9">
        <v>30</v>
      </c>
      <c r="D12" s="19"/>
      <c r="E12" s="19"/>
      <c r="F12" s="19"/>
      <c r="G12" s="19"/>
      <c r="H12" s="19"/>
      <c r="I12" s="19"/>
      <c r="J12" s="19"/>
      <c r="K12" s="19"/>
      <c r="L12" s="19"/>
      <c r="M12" s="19"/>
      <c r="N12" s="19"/>
      <c r="O12" s="19"/>
      <c r="P12" s="19"/>
      <c r="Q12" s="19"/>
      <c r="R12" s="19"/>
      <c r="S12" s="19"/>
    </row>
    <row r="13" spans="1:19" ht="12.75">
      <c r="A13" s="53" t="s">
        <v>8</v>
      </c>
      <c r="B13" s="53"/>
      <c r="C13" s="9">
        <v>10</v>
      </c>
      <c r="D13" s="19"/>
      <c r="E13" s="19"/>
      <c r="F13" s="19"/>
      <c r="G13" s="19"/>
      <c r="H13" s="19"/>
      <c r="I13" s="19"/>
      <c r="J13" s="19"/>
      <c r="K13" s="19"/>
      <c r="L13" s="19"/>
      <c r="M13" s="19"/>
      <c r="N13" s="19"/>
      <c r="O13" s="19"/>
      <c r="P13" s="19"/>
      <c r="Q13" s="19"/>
      <c r="R13" s="19"/>
      <c r="S13" s="19"/>
    </row>
    <row r="14" spans="1:19" ht="12.75">
      <c r="A14" s="53" t="s">
        <v>33</v>
      </c>
      <c r="B14" s="53"/>
      <c r="C14" s="9">
        <v>25</v>
      </c>
      <c r="D14" s="19"/>
      <c r="E14" s="19"/>
      <c r="F14" s="19"/>
      <c r="G14" s="19"/>
      <c r="H14" s="19"/>
      <c r="I14" s="19"/>
      <c r="J14" s="19"/>
      <c r="K14" s="19"/>
      <c r="L14" s="19"/>
      <c r="M14" s="19"/>
      <c r="N14" s="19"/>
      <c r="O14" s="19"/>
      <c r="P14" s="19"/>
      <c r="Q14" s="19"/>
      <c r="R14" s="19"/>
      <c r="S14" s="19"/>
    </row>
    <row r="15" spans="1:19" ht="12.75">
      <c r="A15" s="53" t="s">
        <v>31</v>
      </c>
      <c r="B15" s="53"/>
      <c r="C15" s="9">
        <v>30</v>
      </c>
      <c r="D15" s="19"/>
      <c r="E15" s="19"/>
      <c r="F15" s="19"/>
      <c r="G15" s="19"/>
      <c r="H15" s="19"/>
      <c r="I15" s="19"/>
      <c r="J15" s="19"/>
      <c r="K15" s="19"/>
      <c r="L15" s="19"/>
      <c r="M15" s="19"/>
      <c r="N15" s="19"/>
      <c r="O15" s="19"/>
      <c r="P15" s="19"/>
      <c r="Q15" s="19"/>
      <c r="R15" s="19"/>
      <c r="S15" s="19"/>
    </row>
    <row r="16" spans="1:19" ht="12.75">
      <c r="A16" s="21"/>
      <c r="B16" s="21" t="s">
        <v>56</v>
      </c>
      <c r="C16" s="9">
        <v>40</v>
      </c>
      <c r="D16" s="19"/>
      <c r="E16" s="19"/>
      <c r="F16" s="19"/>
      <c r="G16" s="19"/>
      <c r="H16" s="19"/>
      <c r="I16" s="19"/>
      <c r="J16" s="19"/>
      <c r="K16" s="19"/>
      <c r="L16" s="19"/>
      <c r="M16" s="19"/>
      <c r="N16" s="19"/>
      <c r="O16" s="19"/>
      <c r="P16" s="19"/>
      <c r="Q16" s="19"/>
      <c r="R16" s="19"/>
      <c r="S16" s="19"/>
    </row>
    <row r="17" spans="1:19" ht="12.75">
      <c r="A17" s="21"/>
      <c r="B17" s="21" t="s">
        <v>75</v>
      </c>
      <c r="C17" s="9">
        <v>0.015</v>
      </c>
      <c r="D17" s="19"/>
      <c r="E17" s="19"/>
      <c r="F17" s="19"/>
      <c r="G17" s="19"/>
      <c r="H17" s="19"/>
      <c r="I17" s="19"/>
      <c r="J17" s="19"/>
      <c r="K17" s="19"/>
      <c r="L17" s="19"/>
      <c r="M17" s="19"/>
      <c r="N17" s="19"/>
      <c r="O17" s="19"/>
      <c r="P17" s="19"/>
      <c r="Q17" s="19"/>
      <c r="R17" s="19"/>
      <c r="S17" s="19"/>
    </row>
    <row r="18" spans="1:19" ht="12.75">
      <c r="A18" s="21"/>
      <c r="B18" s="21" t="s">
        <v>76</v>
      </c>
      <c r="C18" s="9">
        <v>0.09</v>
      </c>
      <c r="D18" s="19"/>
      <c r="E18" s="19"/>
      <c r="F18" s="19"/>
      <c r="G18" s="19"/>
      <c r="H18" s="19"/>
      <c r="I18" s="19"/>
      <c r="J18" s="19"/>
      <c r="K18" s="19"/>
      <c r="L18" s="19"/>
      <c r="M18" s="19"/>
      <c r="N18" s="19"/>
      <c r="O18" s="19"/>
      <c r="P18" s="19"/>
      <c r="Q18" s="19"/>
      <c r="R18" s="19"/>
      <c r="S18" s="19"/>
    </row>
    <row r="19" spans="1:19" ht="12.75">
      <c r="A19" s="21"/>
      <c r="B19" s="21" t="s">
        <v>77</v>
      </c>
      <c r="C19" s="9">
        <v>0.13</v>
      </c>
      <c r="D19" s="19"/>
      <c r="E19" s="19"/>
      <c r="F19" s="19"/>
      <c r="G19" s="19"/>
      <c r="H19" s="19"/>
      <c r="I19" s="19"/>
      <c r="J19" s="19"/>
      <c r="K19" s="19"/>
      <c r="L19" s="19"/>
      <c r="M19" s="19"/>
      <c r="N19" s="19"/>
      <c r="O19" s="19"/>
      <c r="P19" s="19"/>
      <c r="Q19" s="19"/>
      <c r="R19" s="19"/>
      <c r="S19" s="19"/>
    </row>
    <row r="20" spans="1:19" ht="12.75">
      <c r="A20" s="21"/>
      <c r="B20" s="21"/>
      <c r="C20" s="9"/>
      <c r="D20" s="19"/>
      <c r="E20" s="19"/>
      <c r="F20" s="19"/>
      <c r="G20" s="19"/>
      <c r="H20" s="19"/>
      <c r="I20" s="19"/>
      <c r="J20" s="19"/>
      <c r="K20" s="19"/>
      <c r="L20" s="19"/>
      <c r="M20" s="19"/>
      <c r="N20" s="19"/>
      <c r="O20" s="19"/>
      <c r="P20" s="19"/>
      <c r="Q20" s="19"/>
      <c r="R20" s="19"/>
      <c r="S20" s="19"/>
    </row>
    <row r="21" spans="1:19" ht="12.75">
      <c r="A21" s="22" t="s">
        <v>44</v>
      </c>
      <c r="B21" s="21"/>
      <c r="C21" s="19"/>
      <c r="D21" s="19"/>
      <c r="E21" s="19"/>
      <c r="F21" s="19"/>
      <c r="G21" s="19"/>
      <c r="H21" s="19"/>
      <c r="I21" s="19"/>
      <c r="J21" s="19"/>
      <c r="K21" s="19"/>
      <c r="L21" s="19"/>
      <c r="M21" s="19"/>
      <c r="N21" s="19"/>
      <c r="O21" s="19"/>
      <c r="P21" s="19"/>
      <c r="Q21" s="19"/>
      <c r="R21" s="19"/>
      <c r="S21" s="19"/>
    </row>
    <row r="22" spans="1:19" ht="12.75">
      <c r="A22" s="22"/>
      <c r="B22" s="21"/>
      <c r="C22" s="19"/>
      <c r="D22" s="19"/>
      <c r="E22" s="19"/>
      <c r="F22" s="19"/>
      <c r="G22" s="19"/>
      <c r="H22" s="19"/>
      <c r="I22" s="19"/>
      <c r="J22" s="19"/>
      <c r="K22" s="19"/>
      <c r="L22" s="19"/>
      <c r="M22" s="19"/>
      <c r="N22" s="19"/>
      <c r="O22" s="19"/>
      <c r="P22" s="19"/>
      <c r="Q22" s="19"/>
      <c r="R22" s="19"/>
      <c r="S22" s="19"/>
    </row>
    <row r="23" spans="1:19" ht="33.75">
      <c r="A23" s="23" t="s">
        <v>4</v>
      </c>
      <c r="B23" s="23" t="s">
        <v>17</v>
      </c>
      <c r="C23" s="23" t="s">
        <v>5</v>
      </c>
      <c r="D23" s="23" t="s">
        <v>13</v>
      </c>
      <c r="E23" s="23" t="s">
        <v>14</v>
      </c>
      <c r="F23" s="23" t="s">
        <v>18</v>
      </c>
      <c r="G23" s="19"/>
      <c r="H23" s="23" t="s">
        <v>20</v>
      </c>
      <c r="I23" s="23" t="s">
        <v>28</v>
      </c>
      <c r="J23" s="23" t="s">
        <v>21</v>
      </c>
      <c r="K23" s="23" t="s">
        <v>48</v>
      </c>
      <c r="L23" s="23" t="s">
        <v>49</v>
      </c>
      <c r="M23" s="23" t="s">
        <v>50</v>
      </c>
      <c r="N23" s="23" t="s">
        <v>51</v>
      </c>
      <c r="O23" s="23" t="s">
        <v>67</v>
      </c>
      <c r="P23" s="23" t="s">
        <v>70</v>
      </c>
      <c r="Q23" s="23" t="s">
        <v>66</v>
      </c>
      <c r="R23" s="23" t="s">
        <v>68</v>
      </c>
      <c r="S23" s="23" t="s">
        <v>69</v>
      </c>
    </row>
    <row r="24" spans="1:19" ht="12.75">
      <c r="A24" s="9"/>
      <c r="B24" s="9"/>
      <c r="C24" s="9"/>
      <c r="D24" s="9"/>
      <c r="E24" s="9"/>
      <c r="F24" s="9"/>
      <c r="G24" s="19"/>
      <c r="H24" s="9"/>
      <c r="I24" s="9"/>
      <c r="J24" s="9"/>
      <c r="K24" s="9"/>
      <c r="L24" s="9"/>
      <c r="M24" s="9"/>
      <c r="N24" s="9"/>
      <c r="O24" s="9"/>
      <c r="P24" s="9"/>
      <c r="Q24" s="24"/>
      <c r="R24" s="24"/>
      <c r="S24" s="24"/>
    </row>
    <row r="25" spans="1:19" ht="12.75">
      <c r="A25" s="9">
        <v>200</v>
      </c>
      <c r="B25" s="25">
        <v>20</v>
      </c>
      <c r="C25" s="25">
        <f>A25*8</f>
        <v>1600</v>
      </c>
      <c r="D25" s="26">
        <f>C25/B25*1.1</f>
        <v>88</v>
      </c>
      <c r="E25" s="26">
        <f>$C$11*2+C$12*8/B25/1.1+C$13+C$14*8/B25/1.1+C$15</f>
        <v>268</v>
      </c>
      <c r="F25" s="27">
        <f>B25*D25/(D25+E25)</f>
        <v>4.943820224719101</v>
      </c>
      <c r="G25" s="19"/>
      <c r="H25" s="26">
        <f>D25+E25</f>
        <v>356</v>
      </c>
      <c r="I25" s="26">
        <f>100*(1-D25/H25)</f>
        <v>75.2808988764045</v>
      </c>
      <c r="J25" s="26">
        <f>$C$16</f>
        <v>40</v>
      </c>
      <c r="K25" s="26">
        <f>J25+$H25</f>
        <v>396</v>
      </c>
      <c r="L25" s="26">
        <f aca="true" t="shared" si="0" ref="L25:N27">K25+$H$25</f>
        <v>752</v>
      </c>
      <c r="M25" s="26">
        <f t="shared" si="0"/>
        <v>1108</v>
      </c>
      <c r="N25" s="26">
        <f t="shared" si="0"/>
        <v>1464</v>
      </c>
      <c r="O25" s="26">
        <f aca="true" t="shared" si="1" ref="O25:P27">N25+$H$25</f>
        <v>1820</v>
      </c>
      <c r="P25" s="26">
        <f t="shared" si="1"/>
        <v>2176</v>
      </c>
      <c r="Q25" s="28">
        <f>$C$17^3/8/A25</f>
        <v>2.109375E-09</v>
      </c>
      <c r="R25" s="28">
        <f>$C$17^5/8/A25</f>
        <v>4.74609375E-13</v>
      </c>
      <c r="S25" s="28">
        <f>$C$17^6/8/A25</f>
        <v>7.119140625E-15</v>
      </c>
    </row>
    <row r="26" spans="1:19" ht="13.5" thickBot="1">
      <c r="A26" s="9">
        <v>600</v>
      </c>
      <c r="B26" s="25">
        <v>20</v>
      </c>
      <c r="C26" s="25">
        <f>A26*8</f>
        <v>4800</v>
      </c>
      <c r="D26" s="26">
        <f>C26/B26*1.1</f>
        <v>264</v>
      </c>
      <c r="E26" s="26">
        <f>$C$11*2+C$12*8/B26/1.1+C$13+C$14*8/B26/1.1+C$15</f>
        <v>268</v>
      </c>
      <c r="F26" s="27">
        <f>B26*D26/(D26+E26)</f>
        <v>9.924812030075188</v>
      </c>
      <c r="G26" s="19"/>
      <c r="H26" s="26">
        <f>D26+E26</f>
        <v>532</v>
      </c>
      <c r="I26" s="26">
        <f>100*(1-D26/H26)</f>
        <v>50.37593984962406</v>
      </c>
      <c r="J26" s="26">
        <f aca="true" t="shared" si="2" ref="J26:J35">$C$16</f>
        <v>40</v>
      </c>
      <c r="K26" s="26">
        <f aca="true" t="shared" si="3" ref="K26:K35">J26+$H26</f>
        <v>572</v>
      </c>
      <c r="L26" s="26">
        <f t="shared" si="0"/>
        <v>928</v>
      </c>
      <c r="M26" s="26">
        <f t="shared" si="0"/>
        <v>1284</v>
      </c>
      <c r="N26" s="26">
        <f t="shared" si="0"/>
        <v>1640</v>
      </c>
      <c r="O26" s="26">
        <f t="shared" si="1"/>
        <v>1996</v>
      </c>
      <c r="P26" s="26">
        <f t="shared" si="1"/>
        <v>2352</v>
      </c>
      <c r="Q26" s="28">
        <f>$C$17^3/8/A26</f>
        <v>7.03125E-10</v>
      </c>
      <c r="R26" s="28">
        <f>$C$17^5/8/A26</f>
        <v>1.5820312499999998E-13</v>
      </c>
      <c r="S26" s="28">
        <f>$C$17^6/8/A26</f>
        <v>2.373046875E-15</v>
      </c>
    </row>
    <row r="27" spans="1:19" ht="13.5" thickBot="1">
      <c r="A27" s="29">
        <v>8000</v>
      </c>
      <c r="B27" s="30">
        <v>20</v>
      </c>
      <c r="C27" s="25">
        <f>A27*8</f>
        <v>64000</v>
      </c>
      <c r="D27" s="26">
        <f>C27/B27*1.1</f>
        <v>3520.0000000000005</v>
      </c>
      <c r="E27" s="26">
        <f>$C$11*2+C$12*8/B27/1.1+C$13+C$14*8/B27/1.1+C$15</f>
        <v>268</v>
      </c>
      <c r="F27" s="31">
        <f>B27*D27/(D27+E27)</f>
        <v>18.585005279831048</v>
      </c>
      <c r="G27" s="19"/>
      <c r="H27" s="26">
        <f>D27+E27</f>
        <v>3788.0000000000005</v>
      </c>
      <c r="I27" s="26">
        <f>100*(1-D27/H27)</f>
        <v>7.0749736008447695</v>
      </c>
      <c r="J27" s="26">
        <f t="shared" si="2"/>
        <v>40</v>
      </c>
      <c r="K27" s="26">
        <f t="shared" si="3"/>
        <v>3828.0000000000005</v>
      </c>
      <c r="L27" s="26">
        <f t="shared" si="0"/>
        <v>4184</v>
      </c>
      <c r="M27" s="32">
        <f t="shared" si="0"/>
        <v>4540</v>
      </c>
      <c r="N27" s="26">
        <f t="shared" si="0"/>
        <v>4896</v>
      </c>
      <c r="O27" s="26">
        <f t="shared" si="1"/>
        <v>5252</v>
      </c>
      <c r="P27" s="26">
        <f t="shared" si="1"/>
        <v>5608</v>
      </c>
      <c r="Q27" s="33">
        <f>$C$17^3/8/A27</f>
        <v>5.2734375E-11</v>
      </c>
      <c r="R27" s="28">
        <f>$C$17^5/8/A27</f>
        <v>1.1865234375E-14</v>
      </c>
      <c r="S27" s="28">
        <f>$C$17^6/8/A27</f>
        <v>1.7797851562499998E-16</v>
      </c>
    </row>
    <row r="28" spans="1:19" ht="12.75">
      <c r="A28" s="9"/>
      <c r="B28" s="25"/>
      <c r="C28" s="25"/>
      <c r="D28" s="26"/>
      <c r="E28" s="26"/>
      <c r="F28" s="27"/>
      <c r="G28" s="19"/>
      <c r="H28" s="26"/>
      <c r="I28" s="26"/>
      <c r="J28" s="26"/>
      <c r="K28" s="26"/>
      <c r="L28" s="26"/>
      <c r="M28" s="26"/>
      <c r="N28" s="26"/>
      <c r="O28" s="26"/>
      <c r="P28" s="26"/>
      <c r="Q28" s="19"/>
      <c r="R28" s="19"/>
      <c r="S28" s="19"/>
    </row>
    <row r="29" spans="1:19" ht="12.75">
      <c r="A29" s="9">
        <v>200</v>
      </c>
      <c r="B29" s="25">
        <v>30</v>
      </c>
      <c r="C29" s="25">
        <f>A29*8</f>
        <v>1600</v>
      </c>
      <c r="D29" s="26">
        <f>C29/B29*1.1</f>
        <v>58.66666666666667</v>
      </c>
      <c r="E29" s="26">
        <f>$C$11*2+C$12*8/B29/1.1+C$13+C$14*8/B29/1.1+C$15</f>
        <v>261.33333333333337</v>
      </c>
      <c r="F29" s="27">
        <f>B29*D29/(D29+E29)</f>
        <v>5.5</v>
      </c>
      <c r="G29" s="19"/>
      <c r="H29" s="26">
        <f>D29+E29</f>
        <v>320.00000000000006</v>
      </c>
      <c r="I29" s="26">
        <f>100*(1-D29/H29)</f>
        <v>81.66666666666667</v>
      </c>
      <c r="J29" s="26">
        <f t="shared" si="2"/>
        <v>40</v>
      </c>
      <c r="K29" s="26">
        <f t="shared" si="3"/>
        <v>360.00000000000006</v>
      </c>
      <c r="L29" s="26">
        <f aca="true" t="shared" si="4" ref="L29:N31">K29+$H$25</f>
        <v>716</v>
      </c>
      <c r="M29" s="26">
        <f t="shared" si="4"/>
        <v>1072</v>
      </c>
      <c r="N29" s="26">
        <f t="shared" si="4"/>
        <v>1428</v>
      </c>
      <c r="O29" s="26">
        <f aca="true" t="shared" si="5" ref="O29:P31">N29+$H$25</f>
        <v>1784</v>
      </c>
      <c r="P29" s="26">
        <f t="shared" si="5"/>
        <v>2140</v>
      </c>
      <c r="Q29" s="28">
        <f>$C$18^3/8/A29</f>
        <v>4.55625E-07</v>
      </c>
      <c r="R29" s="28">
        <f>$C$18^5/8/A29</f>
        <v>3.6905624999999993E-09</v>
      </c>
      <c r="S29" s="28">
        <f>$C$18^6/8/A29</f>
        <v>3.3215062499999993E-10</v>
      </c>
    </row>
    <row r="30" spans="1:19" ht="13.5" thickBot="1">
      <c r="A30" s="9">
        <v>600</v>
      </c>
      <c r="B30" s="25">
        <v>30</v>
      </c>
      <c r="C30" s="25">
        <f>A30*8</f>
        <v>4800</v>
      </c>
      <c r="D30" s="26">
        <f>C30/B30*1.1</f>
        <v>176</v>
      </c>
      <c r="E30" s="26">
        <f>$C$11*2+C$12*8/B30/1.1+C$13+C$14*8/B30/1.1+C$15</f>
        <v>261.33333333333337</v>
      </c>
      <c r="F30" s="27">
        <f>B30*D30/(D30+E30)</f>
        <v>12.073170731707316</v>
      </c>
      <c r="G30" s="19"/>
      <c r="H30" s="26">
        <f>D30+E30</f>
        <v>437.33333333333337</v>
      </c>
      <c r="I30" s="26">
        <f>100*(1-D30/H30)</f>
        <v>59.75609756097562</v>
      </c>
      <c r="J30" s="26">
        <f t="shared" si="2"/>
        <v>40</v>
      </c>
      <c r="K30" s="26">
        <f t="shared" si="3"/>
        <v>477.33333333333337</v>
      </c>
      <c r="L30" s="26">
        <f t="shared" si="4"/>
        <v>833.3333333333334</v>
      </c>
      <c r="M30" s="26">
        <f t="shared" si="4"/>
        <v>1189.3333333333335</v>
      </c>
      <c r="N30" s="26">
        <f t="shared" si="4"/>
        <v>1545.3333333333335</v>
      </c>
      <c r="O30" s="26">
        <f t="shared" si="5"/>
        <v>1901.3333333333335</v>
      </c>
      <c r="P30" s="26">
        <f t="shared" si="5"/>
        <v>2257.3333333333335</v>
      </c>
      <c r="Q30" s="28">
        <f>$C$18^3/8/A30</f>
        <v>1.5187499999999998E-07</v>
      </c>
      <c r="R30" s="28">
        <f>$C$18^5/8/A30</f>
        <v>1.2301874999999999E-09</v>
      </c>
      <c r="S30" s="28">
        <f>$C$18^6/8/A30</f>
        <v>1.1071687499999997E-10</v>
      </c>
    </row>
    <row r="31" spans="1:19" ht="13.5" thickBot="1">
      <c r="A31" s="29">
        <v>8000</v>
      </c>
      <c r="B31" s="30">
        <v>30</v>
      </c>
      <c r="C31" s="25">
        <f>A31*8</f>
        <v>64000</v>
      </c>
      <c r="D31" s="26">
        <f>C31/B31*1.1</f>
        <v>2346.666666666667</v>
      </c>
      <c r="E31" s="26">
        <f>$C$11*2+C$12*8/B31/1.1+C$13+C$14*8/B31/1.1+C$15</f>
        <v>261.33333333333337</v>
      </c>
      <c r="F31" s="31">
        <f>B31*D31/(D31+E31)</f>
        <v>26.993865030674847</v>
      </c>
      <c r="G31" s="19"/>
      <c r="H31" s="26">
        <f>D31+E31</f>
        <v>2608.0000000000005</v>
      </c>
      <c r="I31" s="26">
        <f>100*(1-D31/H31)</f>
        <v>10.020449897750517</v>
      </c>
      <c r="J31" s="26">
        <f t="shared" si="2"/>
        <v>40</v>
      </c>
      <c r="K31" s="26">
        <f t="shared" si="3"/>
        <v>2648.0000000000005</v>
      </c>
      <c r="L31" s="26">
        <f t="shared" si="4"/>
        <v>3004.0000000000005</v>
      </c>
      <c r="M31" s="26">
        <f t="shared" si="4"/>
        <v>3360.0000000000005</v>
      </c>
      <c r="N31" s="26">
        <f t="shared" si="4"/>
        <v>3716.0000000000005</v>
      </c>
      <c r="O31" s="32">
        <f t="shared" si="5"/>
        <v>4072.0000000000005</v>
      </c>
      <c r="P31" s="26">
        <f t="shared" si="5"/>
        <v>4428</v>
      </c>
      <c r="Q31" s="28">
        <f>$C$18^3/8/A31</f>
        <v>1.1390624999999999E-08</v>
      </c>
      <c r="R31" s="33">
        <f>$C$18^5/8/A31</f>
        <v>9.226406249999999E-11</v>
      </c>
      <c r="S31" s="28">
        <f>$C$18^6/8/A31</f>
        <v>8.303765624999998E-12</v>
      </c>
    </row>
    <row r="32" spans="1:19" ht="12.75">
      <c r="A32" s="19"/>
      <c r="B32" s="19"/>
      <c r="C32" s="19"/>
      <c r="D32" s="19"/>
      <c r="E32" s="19"/>
      <c r="F32" s="19"/>
      <c r="G32" s="19"/>
      <c r="H32" s="19"/>
      <c r="I32" s="19"/>
      <c r="J32" s="26"/>
      <c r="K32" s="26"/>
      <c r="L32" s="26"/>
      <c r="M32" s="26"/>
      <c r="N32" s="26"/>
      <c r="O32" s="26"/>
      <c r="P32" s="26"/>
      <c r="Q32" s="19"/>
      <c r="R32" s="19"/>
      <c r="S32" s="19"/>
    </row>
    <row r="33" spans="1:19" ht="12.75">
      <c r="A33" s="9">
        <v>200</v>
      </c>
      <c r="B33" s="25">
        <v>40</v>
      </c>
      <c r="C33" s="25">
        <f>A33*8</f>
        <v>1600</v>
      </c>
      <c r="D33" s="26">
        <f>C33/B33*1.1</f>
        <v>44</v>
      </c>
      <c r="E33" s="26">
        <f>$C$11*2+C$12*8/B33/1.1+C$13+C$14*8/B33/1.1+C$15</f>
        <v>258</v>
      </c>
      <c r="F33" s="27">
        <f>B33*D33/(D33+E33)</f>
        <v>5.827814569536423</v>
      </c>
      <c r="G33" s="19"/>
      <c r="H33" s="26">
        <f>D33+E33</f>
        <v>302</v>
      </c>
      <c r="I33" s="26">
        <f>100*(1-D33/H33)</f>
        <v>85.43046357615894</v>
      </c>
      <c r="J33" s="26">
        <f t="shared" si="2"/>
        <v>40</v>
      </c>
      <c r="K33" s="26">
        <f t="shared" si="3"/>
        <v>342</v>
      </c>
      <c r="L33" s="26">
        <f aca="true" t="shared" si="6" ref="L33:N35">K33+$H$25</f>
        <v>698</v>
      </c>
      <c r="M33" s="26">
        <f t="shared" si="6"/>
        <v>1054</v>
      </c>
      <c r="N33" s="26">
        <f t="shared" si="6"/>
        <v>1410</v>
      </c>
      <c r="O33" s="26">
        <f aca="true" t="shared" si="7" ref="O33:P35">N33+$H$25</f>
        <v>1766</v>
      </c>
      <c r="P33" s="26">
        <f t="shared" si="7"/>
        <v>2122</v>
      </c>
      <c r="Q33" s="28">
        <f>$C$19^3/8/$A33</f>
        <v>1.373125E-06</v>
      </c>
      <c r="R33" s="28">
        <f>$C$19^5/8/$A33</f>
        <v>2.3205812500000008E-08</v>
      </c>
      <c r="S33" s="28">
        <f>$C$19^6/8/$A33</f>
        <v>3.016755625000001E-09</v>
      </c>
    </row>
    <row r="34" spans="1:19" ht="13.5" thickBot="1">
      <c r="A34" s="9">
        <v>600</v>
      </c>
      <c r="B34" s="25">
        <v>40</v>
      </c>
      <c r="C34" s="25">
        <f>A34*8</f>
        <v>4800</v>
      </c>
      <c r="D34" s="26">
        <f>C34/B34*1.1</f>
        <v>132</v>
      </c>
      <c r="E34" s="26">
        <f>$C$11*2+C$12*8/B34/1.1+C$13+C$14*8/B34/1.1+C$15</f>
        <v>258</v>
      </c>
      <c r="F34" s="27">
        <f>B34*D34/(D34+E34)</f>
        <v>13.538461538461538</v>
      </c>
      <c r="G34" s="19"/>
      <c r="H34" s="26">
        <f>D34+E34</f>
        <v>390</v>
      </c>
      <c r="I34" s="26">
        <f>100*(1-D34/H34)</f>
        <v>66.15384615384615</v>
      </c>
      <c r="J34" s="26">
        <f t="shared" si="2"/>
        <v>40</v>
      </c>
      <c r="K34" s="26">
        <f t="shared" si="3"/>
        <v>430</v>
      </c>
      <c r="L34" s="26">
        <f t="shared" si="6"/>
        <v>786</v>
      </c>
      <c r="M34" s="26">
        <f t="shared" si="6"/>
        <v>1142</v>
      </c>
      <c r="N34" s="26">
        <f t="shared" si="6"/>
        <v>1498</v>
      </c>
      <c r="O34" s="26">
        <f t="shared" si="7"/>
        <v>1854</v>
      </c>
      <c r="P34" s="26">
        <f t="shared" si="7"/>
        <v>2210</v>
      </c>
      <c r="Q34" s="28">
        <f>$C$19^3/8/$A34</f>
        <v>4.577083333333334E-07</v>
      </c>
      <c r="R34" s="28">
        <f>$C$19^5/8/$A34</f>
        <v>7.735270833333335E-09</v>
      </c>
      <c r="S34" s="28">
        <f>$C$19^6/8/$A34</f>
        <v>1.0055852083333336E-09</v>
      </c>
    </row>
    <row r="35" spans="1:19" ht="13.5" thickBot="1">
      <c r="A35" s="29">
        <v>8000</v>
      </c>
      <c r="B35" s="30">
        <v>40</v>
      </c>
      <c r="C35" s="25">
        <f>A35*8</f>
        <v>64000</v>
      </c>
      <c r="D35" s="26">
        <f>C35/B35*1.1</f>
        <v>1760.0000000000002</v>
      </c>
      <c r="E35" s="26">
        <f>$C$11*2+C$12*8/B35/1.1+C$13+C$14*8/B35/1.1+C$15</f>
        <v>258</v>
      </c>
      <c r="F35" s="31">
        <f>B35*D35/(D35+E35)</f>
        <v>34.886025768087215</v>
      </c>
      <c r="G35" s="19"/>
      <c r="H35" s="26">
        <f>D35+E35</f>
        <v>2018.0000000000002</v>
      </c>
      <c r="I35" s="26">
        <f>100*(1-D35/H35)</f>
        <v>12.784935579781964</v>
      </c>
      <c r="J35" s="26">
        <f t="shared" si="2"/>
        <v>40</v>
      </c>
      <c r="K35" s="26">
        <f t="shared" si="3"/>
        <v>2058</v>
      </c>
      <c r="L35" s="26">
        <f t="shared" si="6"/>
        <v>2414</v>
      </c>
      <c r="M35" s="26">
        <f t="shared" si="6"/>
        <v>2770</v>
      </c>
      <c r="N35" s="26">
        <f t="shared" si="6"/>
        <v>3126</v>
      </c>
      <c r="O35" s="26">
        <f t="shared" si="7"/>
        <v>3482</v>
      </c>
      <c r="P35" s="32">
        <f t="shared" si="7"/>
        <v>3838</v>
      </c>
      <c r="Q35" s="28">
        <f>$C$19^3/8/$A35</f>
        <v>3.4328125000000005E-08</v>
      </c>
      <c r="R35" s="28">
        <f>$C$19^5/8/$A35</f>
        <v>5.801453125000002E-10</v>
      </c>
      <c r="S35" s="33">
        <f>$C$19^6/8/$A35</f>
        <v>7.541889062500002E-11</v>
      </c>
    </row>
    <row r="36" spans="1:19" ht="12.75">
      <c r="A36" s="9"/>
      <c r="B36" s="25"/>
      <c r="C36" s="25"/>
      <c r="D36" s="26"/>
      <c r="E36" s="26"/>
      <c r="F36" s="27"/>
      <c r="G36" s="26"/>
      <c r="H36" s="26"/>
      <c r="I36" s="26"/>
      <c r="J36" s="26"/>
      <c r="K36" s="26"/>
      <c r="L36" s="19"/>
      <c r="M36" s="19"/>
      <c r="N36" s="19"/>
      <c r="O36" s="19"/>
      <c r="P36" s="19"/>
      <c r="Q36" s="19"/>
      <c r="R36" s="19"/>
      <c r="S36" s="19"/>
    </row>
    <row r="37" spans="1:19" ht="12.75">
      <c r="A37" s="22" t="s">
        <v>45</v>
      </c>
      <c r="B37" s="25"/>
      <c r="C37" s="25"/>
      <c r="D37" s="26"/>
      <c r="E37" s="26"/>
      <c r="F37" s="27"/>
      <c r="G37" s="26"/>
      <c r="H37" s="26"/>
      <c r="I37" s="26"/>
      <c r="J37" s="26"/>
      <c r="K37" s="26"/>
      <c r="L37" s="19"/>
      <c r="M37" s="19"/>
      <c r="N37" s="19"/>
      <c r="O37" s="19"/>
      <c r="P37" s="19"/>
      <c r="Q37" s="19"/>
      <c r="R37" s="19"/>
      <c r="S37" s="19"/>
    </row>
    <row r="38" spans="1:19" ht="12.75">
      <c r="A38" s="22"/>
      <c r="B38" s="25"/>
      <c r="C38" s="25"/>
      <c r="D38" s="26"/>
      <c r="E38" s="26"/>
      <c r="F38" s="27"/>
      <c r="G38" s="26"/>
      <c r="H38" s="26"/>
      <c r="I38" s="26"/>
      <c r="J38" s="26"/>
      <c r="K38" s="26"/>
      <c r="L38" s="19"/>
      <c r="M38" s="19"/>
      <c r="N38" s="19"/>
      <c r="O38" s="19"/>
      <c r="P38" s="19"/>
      <c r="Q38" s="19"/>
      <c r="R38" s="19"/>
      <c r="S38" s="19"/>
    </row>
    <row r="39" spans="1:19" ht="45">
      <c r="A39" s="23" t="s">
        <v>4</v>
      </c>
      <c r="B39" s="23" t="s">
        <v>17</v>
      </c>
      <c r="C39" s="23" t="s">
        <v>5</v>
      </c>
      <c r="D39" s="23" t="s">
        <v>36</v>
      </c>
      <c r="E39" s="23" t="s">
        <v>37</v>
      </c>
      <c r="F39" s="23" t="s">
        <v>34</v>
      </c>
      <c r="G39" s="23" t="s">
        <v>38</v>
      </c>
      <c r="H39" s="23" t="s">
        <v>39</v>
      </c>
      <c r="I39" s="23" t="s">
        <v>40</v>
      </c>
      <c r="J39" s="23" t="s">
        <v>43</v>
      </c>
      <c r="K39" s="23" t="s">
        <v>41</v>
      </c>
      <c r="L39" s="23" t="s">
        <v>42</v>
      </c>
      <c r="M39" s="23" t="s">
        <v>47</v>
      </c>
      <c r="N39" s="23" t="s">
        <v>46</v>
      </c>
      <c r="O39" s="23" t="s">
        <v>67</v>
      </c>
      <c r="P39" s="23" t="s">
        <v>70</v>
      </c>
      <c r="Q39" s="23" t="s">
        <v>66</v>
      </c>
      <c r="R39" s="23" t="s">
        <v>68</v>
      </c>
      <c r="S39" s="23" t="s">
        <v>69</v>
      </c>
    </row>
    <row r="40" spans="1:19" ht="12.75">
      <c r="A40" s="9" t="s">
        <v>3</v>
      </c>
      <c r="B40" s="9" t="s">
        <v>2</v>
      </c>
      <c r="C40" s="9" t="s">
        <v>0</v>
      </c>
      <c r="D40" s="9" t="s">
        <v>16</v>
      </c>
      <c r="E40" s="9" t="s">
        <v>29</v>
      </c>
      <c r="F40" s="9" t="s">
        <v>15</v>
      </c>
      <c r="G40" s="9" t="s">
        <v>35</v>
      </c>
      <c r="H40" s="9" t="s">
        <v>1</v>
      </c>
      <c r="I40" s="9" t="s">
        <v>19</v>
      </c>
      <c r="J40" s="9" t="s">
        <v>25</v>
      </c>
      <c r="K40" s="9" t="s">
        <v>26</v>
      </c>
      <c r="L40" s="9" t="s">
        <v>27</v>
      </c>
      <c r="M40" s="9" t="s">
        <v>52</v>
      </c>
      <c r="N40" s="9" t="s">
        <v>53</v>
      </c>
      <c r="O40" s="9"/>
      <c r="P40" s="9"/>
      <c r="Q40" s="24"/>
      <c r="R40" s="24"/>
      <c r="S40" s="24"/>
    </row>
    <row r="41" spans="1:19" ht="12.75">
      <c r="A41" s="9">
        <v>200</v>
      </c>
      <c r="B41" s="25">
        <v>20</v>
      </c>
      <c r="C41" s="25">
        <f>A41*8</f>
        <v>1600</v>
      </c>
      <c r="D41" s="26">
        <f>C41/B41*1.1</f>
        <v>88</v>
      </c>
      <c r="E41" s="26">
        <f>$C$11*5+C$12*8/B41/1.1*3+C$13*3+C$14*8/B41/1.1*3+C$15*2</f>
        <v>670</v>
      </c>
      <c r="F41" s="27">
        <f>$B41*$D41*3/($D41*3+$E41)</f>
        <v>5.653104925053533</v>
      </c>
      <c r="G41" s="27">
        <f>$B41*$D41/($D41*3+$E41)</f>
        <v>1.8843683083511777</v>
      </c>
      <c r="H41" s="26">
        <f>D41*3+E41</f>
        <v>934</v>
      </c>
      <c r="I41" s="26">
        <f>100*(1-3*D41/H41)</f>
        <v>71.73447537473233</v>
      </c>
      <c r="J41" s="26">
        <f>$C$16</f>
        <v>40</v>
      </c>
      <c r="K41" s="26">
        <f>J41+$H25</f>
        <v>396</v>
      </c>
      <c r="L41" s="26">
        <f aca="true" t="shared" si="8" ref="L41:P43">K41+$H$25</f>
        <v>752</v>
      </c>
      <c r="M41" s="26">
        <f t="shared" si="8"/>
        <v>1108</v>
      </c>
      <c r="N41" s="26">
        <f t="shared" si="8"/>
        <v>1464</v>
      </c>
      <c r="O41" s="26">
        <f t="shared" si="8"/>
        <v>1820</v>
      </c>
      <c r="P41" s="26">
        <f t="shared" si="8"/>
        <v>2176</v>
      </c>
      <c r="Q41" s="28">
        <f>$C$17^3/8/A41</f>
        <v>2.109375E-09</v>
      </c>
      <c r="R41" s="28">
        <f>$C$17^5/8/A41</f>
        <v>4.74609375E-13</v>
      </c>
      <c r="S41" s="28">
        <f>$C$17^6/8/A41</f>
        <v>7.119140625E-15</v>
      </c>
    </row>
    <row r="42" spans="1:19" ht="13.5" thickBot="1">
      <c r="A42" s="9">
        <v>600</v>
      </c>
      <c r="B42" s="25">
        <v>20</v>
      </c>
      <c r="C42" s="25">
        <f>A42*8</f>
        <v>4800</v>
      </c>
      <c r="D42" s="26">
        <f>C42/B42*1.1</f>
        <v>264</v>
      </c>
      <c r="E42" s="26">
        <f>$C$11*5+C$12*8/B42/1.1*3+C$13*3+C$14*8/B42/1.1*3+C$15*2</f>
        <v>670</v>
      </c>
      <c r="F42" s="27">
        <f>$B42*$D42*3/($D42*3+$E42)</f>
        <v>10.834473324213405</v>
      </c>
      <c r="G42" s="27">
        <f>$B42*$D42/($D42*3+$E42)</f>
        <v>3.6114911080711356</v>
      </c>
      <c r="H42" s="26">
        <f>D42*3+E42</f>
        <v>1462</v>
      </c>
      <c r="I42" s="26">
        <f>100*(1-3*D42/H42)</f>
        <v>45.827633378932966</v>
      </c>
      <c r="J42" s="26">
        <f>$C$16</f>
        <v>40</v>
      </c>
      <c r="K42" s="26">
        <f aca="true" t="shared" si="9" ref="K42:K51">J42+$H26</f>
        <v>572</v>
      </c>
      <c r="L42" s="26">
        <f t="shared" si="8"/>
        <v>928</v>
      </c>
      <c r="M42" s="26">
        <f t="shared" si="8"/>
        <v>1284</v>
      </c>
      <c r="N42" s="26">
        <f t="shared" si="8"/>
        <v>1640</v>
      </c>
      <c r="O42" s="26">
        <f t="shared" si="8"/>
        <v>1996</v>
      </c>
      <c r="P42" s="26">
        <f t="shared" si="8"/>
        <v>2352</v>
      </c>
      <c r="Q42" s="28">
        <f>$C$17^3/8/A42</f>
        <v>7.03125E-10</v>
      </c>
      <c r="R42" s="28">
        <f>$C$17^5/8/A42</f>
        <v>1.5820312499999998E-13</v>
      </c>
      <c r="S42" s="28">
        <f>$C$17^6/8/A42</f>
        <v>2.373046875E-15</v>
      </c>
    </row>
    <row r="43" spans="1:19" ht="13.5" thickBot="1">
      <c r="A43" s="29">
        <v>8000</v>
      </c>
      <c r="B43" s="30">
        <v>20</v>
      </c>
      <c r="C43" s="25">
        <f>A43*8</f>
        <v>64000</v>
      </c>
      <c r="D43" s="26">
        <f>C43/B43*1.1</f>
        <v>3520.0000000000005</v>
      </c>
      <c r="E43" s="26">
        <f>$C$11*5+C$12*8/B43/1.1*3+C$13*3+C$14*8/B43/1.1*3+C$15*2</f>
        <v>670</v>
      </c>
      <c r="F43" s="31">
        <f>$B43*$D43*3/($D43*3+$E43)</f>
        <v>18.806767586821017</v>
      </c>
      <c r="G43" s="27">
        <f>$B43*$D43/($D43*3+$E43)</f>
        <v>6.2689225289403385</v>
      </c>
      <c r="H43" s="26">
        <f>D43*3+E43</f>
        <v>11230.000000000002</v>
      </c>
      <c r="I43" s="26">
        <f>100*(1-3*D43/H43)</f>
        <v>5.96616206589492</v>
      </c>
      <c r="J43" s="26">
        <f>$C$16</f>
        <v>40</v>
      </c>
      <c r="K43" s="26">
        <f t="shared" si="9"/>
        <v>3828.0000000000005</v>
      </c>
      <c r="L43" s="26">
        <f t="shared" si="8"/>
        <v>4184</v>
      </c>
      <c r="M43" s="32">
        <f t="shared" si="8"/>
        <v>4540</v>
      </c>
      <c r="N43" s="26">
        <f t="shared" si="8"/>
        <v>4896</v>
      </c>
      <c r="O43" s="26">
        <f t="shared" si="8"/>
        <v>5252</v>
      </c>
      <c r="P43" s="26">
        <f t="shared" si="8"/>
        <v>5608</v>
      </c>
      <c r="Q43" s="33">
        <f>$C$17^3/8/A43</f>
        <v>5.2734375E-11</v>
      </c>
      <c r="R43" s="28">
        <f>$C$17^5/8/A43</f>
        <v>1.1865234375E-14</v>
      </c>
      <c r="S43" s="28">
        <f>$C$17^6/8/A43</f>
        <v>1.7797851562499998E-16</v>
      </c>
    </row>
    <row r="44" spans="1:19" ht="12.75">
      <c r="A44" s="9"/>
      <c r="B44" s="25"/>
      <c r="C44" s="25"/>
      <c r="D44" s="26"/>
      <c r="E44" s="26"/>
      <c r="F44" s="27"/>
      <c r="G44" s="19"/>
      <c r="H44" s="26"/>
      <c r="I44" s="26"/>
      <c r="J44" s="26"/>
      <c r="K44" s="26"/>
      <c r="L44" s="26"/>
      <c r="M44" s="26"/>
      <c r="N44" s="26"/>
      <c r="O44" s="26"/>
      <c r="P44" s="26"/>
      <c r="Q44" s="19"/>
      <c r="R44" s="19"/>
      <c r="S44" s="19"/>
    </row>
    <row r="45" spans="1:19" ht="12.75">
      <c r="A45" s="9">
        <v>200</v>
      </c>
      <c r="B45" s="25">
        <v>30</v>
      </c>
      <c r="C45" s="25">
        <f>A45*8</f>
        <v>1600</v>
      </c>
      <c r="D45" s="26">
        <f>C45/B45*1.1</f>
        <v>58.66666666666667</v>
      </c>
      <c r="E45" s="26">
        <f>$C$11*5+C$12*8/B45/1.1*3+C$13*3+C$14*8/B45/1.1*3+C$15*2</f>
        <v>650</v>
      </c>
      <c r="F45" s="27">
        <f>$B45*$D45*3/($D45*3+$E45)</f>
        <v>6.3922518159806305</v>
      </c>
      <c r="G45" s="27">
        <f>$B45*$D45/($D45*3+$E45)</f>
        <v>2.130750605326877</v>
      </c>
      <c r="H45" s="26">
        <f>D45*3+E45</f>
        <v>826</v>
      </c>
      <c r="I45" s="26">
        <f>100*(1-3*D45/H45)</f>
        <v>78.69249394673123</v>
      </c>
      <c r="J45" s="26">
        <f>$C$16</f>
        <v>40</v>
      </c>
      <c r="K45" s="26">
        <f t="shared" si="9"/>
        <v>360.00000000000006</v>
      </c>
      <c r="L45" s="26">
        <f aca="true" t="shared" si="10" ref="L45:P47">K45+$H$25</f>
        <v>716</v>
      </c>
      <c r="M45" s="26">
        <f t="shared" si="10"/>
        <v>1072</v>
      </c>
      <c r="N45" s="26">
        <f t="shared" si="10"/>
        <v>1428</v>
      </c>
      <c r="O45" s="26">
        <f t="shared" si="10"/>
        <v>1784</v>
      </c>
      <c r="P45" s="26">
        <f t="shared" si="10"/>
        <v>2140</v>
      </c>
      <c r="Q45" s="28">
        <f>$C$18^3/8/A45</f>
        <v>4.55625E-07</v>
      </c>
      <c r="R45" s="28">
        <f>$C$18^5/8/A45</f>
        <v>3.6905624999999993E-09</v>
      </c>
      <c r="S45" s="28">
        <f>$C$18^6/8/A45</f>
        <v>3.3215062499999993E-10</v>
      </c>
    </row>
    <row r="46" spans="1:19" ht="13.5" thickBot="1">
      <c r="A46" s="9">
        <v>600</v>
      </c>
      <c r="B46" s="25">
        <v>30</v>
      </c>
      <c r="C46" s="25">
        <f>A46*8</f>
        <v>4800</v>
      </c>
      <c r="D46" s="26">
        <f>C46/B46*1.1</f>
        <v>176</v>
      </c>
      <c r="E46" s="26">
        <f>$C$11*5+C$12*8/B46/1.1*3+C$13*3+C$14*8/B46/1.1*3+C$15*2</f>
        <v>650</v>
      </c>
      <c r="F46" s="27">
        <f>$B46*$D46*3/($D46*3+$E46)</f>
        <v>13.446519524617997</v>
      </c>
      <c r="G46" s="27">
        <f>$B46*$D46/($D46*3+$E46)</f>
        <v>4.482173174872665</v>
      </c>
      <c r="H46" s="26">
        <f>D46*3+E46</f>
        <v>1178</v>
      </c>
      <c r="I46" s="26">
        <f>100*(1-3*D46/H46)</f>
        <v>55.178268251273344</v>
      </c>
      <c r="J46" s="26">
        <f>$C$16</f>
        <v>40</v>
      </c>
      <c r="K46" s="26">
        <f t="shared" si="9"/>
        <v>477.33333333333337</v>
      </c>
      <c r="L46" s="26">
        <f t="shared" si="10"/>
        <v>833.3333333333334</v>
      </c>
      <c r="M46" s="26">
        <f t="shared" si="10"/>
        <v>1189.3333333333335</v>
      </c>
      <c r="N46" s="26">
        <f t="shared" si="10"/>
        <v>1545.3333333333335</v>
      </c>
      <c r="O46" s="26">
        <f t="shared" si="10"/>
        <v>1901.3333333333335</v>
      </c>
      <c r="P46" s="26">
        <f t="shared" si="10"/>
        <v>2257.3333333333335</v>
      </c>
      <c r="Q46" s="28">
        <f>$C$18^3/8/A46</f>
        <v>1.5187499999999998E-07</v>
      </c>
      <c r="R46" s="28">
        <f>$C$18^5/8/A46</f>
        <v>1.2301874999999999E-09</v>
      </c>
      <c r="S46" s="28">
        <f>$C$18^6/8/A46</f>
        <v>1.1071687499999997E-10</v>
      </c>
    </row>
    <row r="47" spans="1:19" ht="13.5" thickBot="1">
      <c r="A47" s="29">
        <v>8000</v>
      </c>
      <c r="B47" s="30">
        <v>30</v>
      </c>
      <c r="C47" s="25">
        <f>A47*8</f>
        <v>64000</v>
      </c>
      <c r="D47" s="26">
        <f>C47/B47*1.1</f>
        <v>2346.666666666667</v>
      </c>
      <c r="E47" s="26">
        <f>$C$11*5+C$12*8/B47/1.1*3+C$13*3+C$14*8/B47/1.1*3+C$15*2</f>
        <v>650</v>
      </c>
      <c r="F47" s="31">
        <f>$B47*$D47*3/($D47*3+$E47)</f>
        <v>27.46423927178154</v>
      </c>
      <c r="G47" s="27">
        <f>$B47*$D47/($D47*3+$E47)</f>
        <v>9.154746423927179</v>
      </c>
      <c r="H47" s="26">
        <f>D47*3+E47</f>
        <v>7690.000000000001</v>
      </c>
      <c r="I47" s="26">
        <f>100*(1-3*D47/H47)</f>
        <v>8.45253576072822</v>
      </c>
      <c r="J47" s="26">
        <f>$C$16</f>
        <v>40</v>
      </c>
      <c r="K47" s="26">
        <f t="shared" si="9"/>
        <v>2648.0000000000005</v>
      </c>
      <c r="L47" s="26">
        <f t="shared" si="10"/>
        <v>3004.0000000000005</v>
      </c>
      <c r="M47" s="26">
        <f t="shared" si="10"/>
        <v>3360.0000000000005</v>
      </c>
      <c r="N47" s="26">
        <f t="shared" si="10"/>
        <v>3716.0000000000005</v>
      </c>
      <c r="O47" s="32">
        <f t="shared" si="10"/>
        <v>4072.0000000000005</v>
      </c>
      <c r="P47" s="26">
        <f t="shared" si="10"/>
        <v>4428</v>
      </c>
      <c r="Q47" s="28">
        <f>$C$18^3/8/A47</f>
        <v>1.1390624999999999E-08</v>
      </c>
      <c r="R47" s="33">
        <f>$C$18^5/8/A47</f>
        <v>9.226406249999999E-11</v>
      </c>
      <c r="S47" s="28">
        <f>$C$18^6/8/A47</f>
        <v>8.303765624999998E-12</v>
      </c>
    </row>
    <row r="48" spans="1:19" ht="12.75">
      <c r="A48" s="19"/>
      <c r="B48" s="19"/>
      <c r="C48" s="19"/>
      <c r="D48" s="19"/>
      <c r="E48" s="19"/>
      <c r="F48" s="19"/>
      <c r="G48" s="19"/>
      <c r="H48" s="19"/>
      <c r="I48" s="19"/>
      <c r="J48" s="19"/>
      <c r="K48" s="26"/>
      <c r="L48" s="26"/>
      <c r="M48" s="26"/>
      <c r="N48" s="26"/>
      <c r="O48" s="26"/>
      <c r="P48" s="26"/>
      <c r="Q48" s="19"/>
      <c r="R48" s="19"/>
      <c r="S48" s="19"/>
    </row>
    <row r="49" spans="1:19" ht="12.75">
      <c r="A49" s="9">
        <v>200</v>
      </c>
      <c r="B49" s="25">
        <v>40</v>
      </c>
      <c r="C49" s="25">
        <f>A49*8</f>
        <v>1600</v>
      </c>
      <c r="D49" s="26">
        <f>C49/B49*1.1</f>
        <v>44</v>
      </c>
      <c r="E49" s="26">
        <f>$C$11*5+C$12*8/B49/1.1*3+C$13*3+C$14*8/B49/1.1*3+C$15*2</f>
        <v>640</v>
      </c>
      <c r="F49" s="27">
        <f>$B49*$D49*3/($D49*3+$E49)</f>
        <v>6.839378238341969</v>
      </c>
      <c r="G49" s="27">
        <f>$B49*$D49/($D49*3+$E49)</f>
        <v>2.2797927461139897</v>
      </c>
      <c r="H49" s="26">
        <f>D49*3+E49</f>
        <v>772</v>
      </c>
      <c r="I49" s="26">
        <f>100*(1-3*D49/H49)</f>
        <v>82.90155440414509</v>
      </c>
      <c r="J49" s="26">
        <f>$C$16</f>
        <v>40</v>
      </c>
      <c r="K49" s="26">
        <f t="shared" si="9"/>
        <v>342</v>
      </c>
      <c r="L49" s="26">
        <f>K49+$H$25</f>
        <v>698</v>
      </c>
      <c r="M49" s="26">
        <f>L49+$H$25</f>
        <v>1054</v>
      </c>
      <c r="N49" s="26">
        <f>M49+$H$25</f>
        <v>1410</v>
      </c>
      <c r="O49" s="26">
        <f>N49+$H$25</f>
        <v>1766</v>
      </c>
      <c r="P49" s="26">
        <f>O49+$H$25</f>
        <v>2122</v>
      </c>
      <c r="Q49" s="28">
        <f>$C$19^3/8/$A49</f>
        <v>1.373125E-06</v>
      </c>
      <c r="R49" s="28">
        <f>$C$19^5/8/$A49</f>
        <v>2.3205812500000008E-08</v>
      </c>
      <c r="S49" s="28">
        <f>$C$19^6/8/$A49</f>
        <v>3.016755625000001E-09</v>
      </c>
    </row>
    <row r="50" spans="1:19" ht="13.5" thickBot="1">
      <c r="A50" s="9">
        <v>600</v>
      </c>
      <c r="B50" s="25">
        <v>40</v>
      </c>
      <c r="C50" s="25">
        <f>A50*8</f>
        <v>4800</v>
      </c>
      <c r="D50" s="26">
        <f>C50/B50*1.1</f>
        <v>132</v>
      </c>
      <c r="E50" s="26">
        <f>$C$11*5+C$12*8/B50/1.1*3+C$13*3+C$14*8/B50/1.1*3+C$15*2</f>
        <v>640</v>
      </c>
      <c r="F50" s="27">
        <f>$B50*$D50*3/($D50*3+$E50)</f>
        <v>15.28957528957529</v>
      </c>
      <c r="G50" s="27">
        <f>$B50*$D50/($D50*3+$E50)</f>
        <v>5.096525096525096</v>
      </c>
      <c r="H50" s="26">
        <f>D50*3+E50</f>
        <v>1036</v>
      </c>
      <c r="I50" s="26">
        <f>100*(1-3*D50/H50)</f>
        <v>61.77606177606177</v>
      </c>
      <c r="J50" s="26">
        <f>$C$16</f>
        <v>40</v>
      </c>
      <c r="K50" s="26">
        <f t="shared" si="9"/>
        <v>430</v>
      </c>
      <c r="L50" s="26">
        <f aca="true" t="shared" si="11" ref="L50:P51">K50+$H$25</f>
        <v>786</v>
      </c>
      <c r="M50" s="26">
        <f t="shared" si="11"/>
        <v>1142</v>
      </c>
      <c r="N50" s="26">
        <f t="shared" si="11"/>
        <v>1498</v>
      </c>
      <c r="O50" s="26">
        <f t="shared" si="11"/>
        <v>1854</v>
      </c>
      <c r="P50" s="26">
        <f t="shared" si="11"/>
        <v>2210</v>
      </c>
      <c r="Q50" s="28">
        <f>$C$19^3/8/$A50</f>
        <v>4.577083333333334E-07</v>
      </c>
      <c r="R50" s="28">
        <f>$C$19^5/8/$A50</f>
        <v>7.735270833333335E-09</v>
      </c>
      <c r="S50" s="28">
        <f>$C$19^6/8/$A50</f>
        <v>1.0055852083333336E-09</v>
      </c>
    </row>
    <row r="51" spans="1:19" ht="13.5" thickBot="1">
      <c r="A51" s="29">
        <v>8000</v>
      </c>
      <c r="B51" s="30">
        <v>40</v>
      </c>
      <c r="C51" s="25">
        <f>A51*8</f>
        <v>64000</v>
      </c>
      <c r="D51" s="26">
        <f>C51/B51*1.1</f>
        <v>1760.0000000000002</v>
      </c>
      <c r="E51" s="26">
        <f>$C$11*5+C$12*8/B51/1.1*3+C$13*3+C$14*8/B51/1.1*3+C$15*2</f>
        <v>640</v>
      </c>
      <c r="F51" s="31">
        <f>$B51*$D51*3/($D51*3+$E51)</f>
        <v>35.67567567567568</v>
      </c>
      <c r="G51" s="27">
        <f>$B51*$D51/($D51*3+$E51)</f>
        <v>11.891891891891893</v>
      </c>
      <c r="H51" s="26">
        <f>D51*3+E51</f>
        <v>5920.000000000001</v>
      </c>
      <c r="I51" s="26">
        <f>100*(1-3*D51/H51)</f>
        <v>10.81081081081081</v>
      </c>
      <c r="J51" s="26">
        <f>$C$16</f>
        <v>40</v>
      </c>
      <c r="K51" s="26">
        <f t="shared" si="9"/>
        <v>2058</v>
      </c>
      <c r="L51" s="26">
        <f>K51+$H$25</f>
        <v>2414</v>
      </c>
      <c r="M51" s="26">
        <f t="shared" si="11"/>
        <v>2770</v>
      </c>
      <c r="N51" s="26">
        <f>M51+$H$25</f>
        <v>3126</v>
      </c>
      <c r="O51" s="26">
        <f>N51+$H$25</f>
        <v>3482</v>
      </c>
      <c r="P51" s="32">
        <f>O51+$H$25</f>
        <v>3838</v>
      </c>
      <c r="Q51" s="28">
        <f>$C$19^3/8/$A51</f>
        <v>3.4328125000000005E-08</v>
      </c>
      <c r="R51" s="28">
        <f>$C$19^5/8/$A51</f>
        <v>5.801453125000002E-10</v>
      </c>
      <c r="S51" s="33">
        <f>$C$19^6/8/$A51</f>
        <v>7.541889062500002E-11</v>
      </c>
    </row>
  </sheetData>
  <mergeCells count="8">
    <mergeCell ref="A4:G4"/>
    <mergeCell ref="A11:B11"/>
    <mergeCell ref="A14:B14"/>
    <mergeCell ref="A15:B15"/>
    <mergeCell ref="A12:B12"/>
    <mergeCell ref="A13:B13"/>
    <mergeCell ref="A5:E5"/>
    <mergeCell ref="A6:G6"/>
  </mergeCells>
  <printOptions/>
  <pageMargins left="0.75" right="0.75" top="1" bottom="1" header="0.5" footer="0.5"/>
  <pageSetup fitToHeight="1" fitToWidth="1" horizontalDpi="360" verticalDpi="360" orientation="landscape" scale="67" r:id="rId1"/>
</worksheet>
</file>

<file path=xl/worksheets/sheet3.xml><?xml version="1.0" encoding="utf-8"?>
<worksheet xmlns="http://schemas.openxmlformats.org/spreadsheetml/2006/main" xmlns:r="http://schemas.openxmlformats.org/officeDocument/2006/relationships">
  <sheetPr>
    <pageSetUpPr fitToPage="1"/>
  </sheetPr>
  <dimension ref="A1:Q43"/>
  <sheetViews>
    <sheetView zoomScale="75" zoomScaleNormal="75" workbookViewId="0" topLeftCell="A1">
      <selection activeCell="D44" sqref="D44"/>
    </sheetView>
  </sheetViews>
  <sheetFormatPr defaultColWidth="9.140625" defaultRowHeight="12.75"/>
  <cols>
    <col min="1" max="1" width="15.7109375" style="0" customWidth="1"/>
    <col min="4" max="4" width="13.140625" style="0" customWidth="1"/>
    <col min="5" max="6" width="11.8515625" style="0" customWidth="1"/>
    <col min="7" max="7" width="10.140625" style="0" customWidth="1"/>
  </cols>
  <sheetData>
    <row r="1" ht="15">
      <c r="B1" s="43" t="s">
        <v>103</v>
      </c>
    </row>
    <row r="3" spans="1:8" ht="12.75">
      <c r="A3" s="54" t="s">
        <v>10</v>
      </c>
      <c r="B3" s="54"/>
      <c r="C3" s="54"/>
      <c r="D3" s="54"/>
      <c r="E3" s="54"/>
      <c r="F3" s="54"/>
      <c r="G3" s="54"/>
      <c r="H3" s="4"/>
    </row>
    <row r="4" spans="1:5" ht="12.75">
      <c r="A4" s="54" t="s">
        <v>11</v>
      </c>
      <c r="B4" s="54"/>
      <c r="C4" s="54"/>
      <c r="D4" s="54"/>
      <c r="E4" s="54"/>
    </row>
    <row r="5" spans="1:8" ht="12.75">
      <c r="A5" s="54" t="s">
        <v>32</v>
      </c>
      <c r="B5" s="54"/>
      <c r="C5" s="54"/>
      <c r="D5" s="54"/>
      <c r="E5" s="54"/>
      <c r="F5" s="54"/>
      <c r="G5" s="54"/>
      <c r="H5" s="4"/>
    </row>
    <row r="6" spans="1:8" ht="12.75">
      <c r="A6" s="4" t="s">
        <v>23</v>
      </c>
      <c r="B6" s="4"/>
      <c r="C6" s="4"/>
      <c r="D6" s="4"/>
      <c r="E6" s="4"/>
      <c r="F6" s="4"/>
      <c r="G6" s="4"/>
      <c r="H6" s="4"/>
    </row>
    <row r="7" spans="1:8" ht="12.75">
      <c r="A7" s="4" t="s">
        <v>58</v>
      </c>
      <c r="B7" s="4"/>
      <c r="C7" s="4"/>
      <c r="D7" s="4"/>
      <c r="E7" s="4"/>
      <c r="F7" s="4"/>
      <c r="G7" s="4"/>
      <c r="H7" s="4"/>
    </row>
    <row r="8" spans="1:8" ht="12.75">
      <c r="A8" s="4" t="s">
        <v>59</v>
      </c>
      <c r="B8" s="4"/>
      <c r="C8" s="4"/>
      <c r="D8" s="4"/>
      <c r="E8" s="4"/>
      <c r="F8" s="4"/>
      <c r="G8" s="4"/>
      <c r="H8" s="4"/>
    </row>
    <row r="9" spans="1:8" ht="12.75">
      <c r="A9" s="4"/>
      <c r="B9" s="4"/>
      <c r="C9" s="4"/>
      <c r="D9" s="4"/>
      <c r="E9" s="4"/>
      <c r="F9" s="4"/>
      <c r="G9" s="4"/>
      <c r="H9" s="4"/>
    </row>
    <row r="10" spans="1:3" ht="12.75">
      <c r="A10" s="55" t="s">
        <v>7</v>
      </c>
      <c r="B10" s="55"/>
      <c r="C10" s="1">
        <v>16</v>
      </c>
    </row>
    <row r="11" spans="1:3" ht="12.75">
      <c r="A11" s="55" t="s">
        <v>6</v>
      </c>
      <c r="B11" s="55"/>
      <c r="C11" s="1">
        <v>34</v>
      </c>
    </row>
    <row r="12" spans="1:3" ht="12.75">
      <c r="A12" s="55" t="s">
        <v>8</v>
      </c>
      <c r="B12" s="55"/>
      <c r="C12" s="1">
        <v>16</v>
      </c>
    </row>
    <row r="13" spans="1:3" ht="12.75">
      <c r="A13" s="55" t="s">
        <v>30</v>
      </c>
      <c r="B13" s="55"/>
      <c r="C13" s="1">
        <v>19</v>
      </c>
    </row>
    <row r="14" spans="1:3" ht="12.75">
      <c r="A14" s="55" t="s">
        <v>31</v>
      </c>
      <c r="B14" s="55"/>
      <c r="C14" s="1">
        <v>32</v>
      </c>
    </row>
    <row r="15" spans="1:3" ht="12.75">
      <c r="A15" s="7"/>
      <c r="B15" s="7" t="s">
        <v>56</v>
      </c>
      <c r="C15" s="1">
        <v>16</v>
      </c>
    </row>
    <row r="16" spans="2:3" ht="15.75">
      <c r="B16" s="7" t="s">
        <v>71</v>
      </c>
      <c r="C16" s="1">
        <v>0.03</v>
      </c>
    </row>
    <row r="17" spans="2:3" ht="15.75">
      <c r="B17" s="7" t="s">
        <v>72</v>
      </c>
      <c r="C17" s="1">
        <v>0.07</v>
      </c>
    </row>
    <row r="18" spans="1:2" ht="12.75">
      <c r="A18" s="7"/>
      <c r="B18" s="7"/>
    </row>
    <row r="19" spans="1:2" ht="12.75">
      <c r="A19" s="8" t="s">
        <v>44</v>
      </c>
      <c r="B19" s="7"/>
    </row>
    <row r="20" spans="1:2" ht="12.75">
      <c r="A20" s="7"/>
      <c r="B20" s="7"/>
    </row>
    <row r="21" spans="1:17" ht="38.25">
      <c r="A21" s="3" t="s">
        <v>4</v>
      </c>
      <c r="B21" s="3" t="s">
        <v>17</v>
      </c>
      <c r="C21" s="3" t="s">
        <v>5</v>
      </c>
      <c r="D21" s="3" t="s">
        <v>13</v>
      </c>
      <c r="E21" s="3" t="s">
        <v>14</v>
      </c>
      <c r="F21" s="3" t="s">
        <v>18</v>
      </c>
      <c r="H21" s="3" t="s">
        <v>20</v>
      </c>
      <c r="I21" s="3" t="s">
        <v>28</v>
      </c>
      <c r="J21" s="3" t="s">
        <v>21</v>
      </c>
      <c r="K21" s="3" t="s">
        <v>48</v>
      </c>
      <c r="L21" s="3" t="s">
        <v>49</v>
      </c>
      <c r="M21" s="3" t="s">
        <v>50</v>
      </c>
      <c r="N21" s="3" t="s">
        <v>51</v>
      </c>
      <c r="O21" s="3" t="s">
        <v>67</v>
      </c>
      <c r="P21" s="3" t="s">
        <v>57</v>
      </c>
      <c r="Q21" s="3" t="s">
        <v>73</v>
      </c>
    </row>
    <row r="22" spans="1:17" ht="12.75">
      <c r="A22" s="1"/>
      <c r="B22" s="1"/>
      <c r="C22" s="1"/>
      <c r="D22" s="1"/>
      <c r="E22" s="1"/>
      <c r="F22" s="1"/>
      <c r="H22" s="1"/>
      <c r="I22" s="1"/>
      <c r="J22" s="1"/>
      <c r="K22" s="1"/>
      <c r="L22" s="1"/>
      <c r="M22" s="1"/>
      <c r="N22" s="1"/>
      <c r="O22" s="1"/>
      <c r="P22" s="10"/>
      <c r="Q22" s="10"/>
    </row>
    <row r="23" spans="1:17" ht="13.5" thickBot="1">
      <c r="A23" s="1">
        <v>512</v>
      </c>
      <c r="B23" s="6">
        <v>21.7</v>
      </c>
      <c r="C23" s="5">
        <f>A23*8</f>
        <v>4096</v>
      </c>
      <c r="D23" s="6">
        <f>C23/B23</f>
        <v>188.7557603686636</v>
      </c>
      <c r="E23" s="6">
        <f>$C$10*2+C$11*8/B23+C$12+C$13*8/B23+C$14</f>
        <v>99.53917050691244</v>
      </c>
      <c r="F23" s="2">
        <f>B23*D23/(D23+E23)</f>
        <v>14.2076726342711</v>
      </c>
      <c r="H23" s="6">
        <f>D23+E23</f>
        <v>288.29493087557603</v>
      </c>
      <c r="I23" s="6">
        <f>100*(1-D23/H23)</f>
        <v>34.526854219948845</v>
      </c>
      <c r="J23" s="6">
        <f>$C$15</f>
        <v>16</v>
      </c>
      <c r="K23" s="6">
        <f>J23+H23</f>
        <v>304.29493087557603</v>
      </c>
      <c r="L23" s="6">
        <f aca="true" t="shared" si="0" ref="L23:N24">K23+$H23</f>
        <v>592.5898617511521</v>
      </c>
      <c r="M23" s="6">
        <f t="shared" si="0"/>
        <v>880.8847926267281</v>
      </c>
      <c r="N23" s="6">
        <f t="shared" si="0"/>
        <v>1169.1797235023041</v>
      </c>
      <c r="O23" s="6">
        <f>N23+$H23</f>
        <v>1457.4746543778801</v>
      </c>
      <c r="P23" s="11">
        <f>$C$16^4/8/A23</f>
        <v>1.9775390625E-10</v>
      </c>
      <c r="Q23" s="11">
        <f>$C$16^5/8/A23</f>
        <v>5.9326171875E-12</v>
      </c>
    </row>
    <row r="24" spans="1:17" ht="13.5" thickBot="1">
      <c r="A24" s="16">
        <v>8200</v>
      </c>
      <c r="B24" s="15">
        <v>21.7</v>
      </c>
      <c r="C24" s="5">
        <f>A24*8</f>
        <v>65600</v>
      </c>
      <c r="D24" s="6">
        <f>C24/B24</f>
        <v>3023.041474654378</v>
      </c>
      <c r="E24" s="6">
        <f>$C$10*2+C$11*8/B24+C$12+C$13*8/B24+C$14</f>
        <v>99.53917050691244</v>
      </c>
      <c r="F24" s="13">
        <f>B24*D24/(D24+E24)</f>
        <v>21.00826446280992</v>
      </c>
      <c r="H24" s="6">
        <f>D24+E24</f>
        <v>3122.5806451612902</v>
      </c>
      <c r="I24" s="6">
        <f>100*(1-D24/H24)</f>
        <v>3.1877213695395534</v>
      </c>
      <c r="J24" s="6">
        <f aca="true" t="shared" si="1" ref="J24:J30">$C$15</f>
        <v>16</v>
      </c>
      <c r="K24" s="6">
        <f>J24+H24</f>
        <v>3138.5806451612902</v>
      </c>
      <c r="L24" s="6">
        <f t="shared" si="0"/>
        <v>6261.1612903225805</v>
      </c>
      <c r="M24" s="6">
        <f t="shared" si="0"/>
        <v>9383.741935483871</v>
      </c>
      <c r="N24" s="15">
        <f t="shared" si="0"/>
        <v>12506.322580645161</v>
      </c>
      <c r="O24" s="6">
        <f>N24+$H24</f>
        <v>15628.90322580645</v>
      </c>
      <c r="P24" s="14">
        <f>$C$16^4/8/A24</f>
        <v>1.2347560975609756E-11</v>
      </c>
      <c r="Q24" s="11">
        <f>$C$16^5/8/A24</f>
        <v>3.7042682926829266E-13</v>
      </c>
    </row>
    <row r="25" spans="1:17" ht="12.75">
      <c r="A25" s="1"/>
      <c r="B25" s="6"/>
      <c r="C25" s="5"/>
      <c r="D25" s="6"/>
      <c r="E25" s="6"/>
      <c r="F25" s="2"/>
      <c r="H25" s="6"/>
      <c r="I25" s="6"/>
      <c r="J25" s="6"/>
      <c r="K25" s="6"/>
      <c r="L25" s="6"/>
      <c r="M25" s="6"/>
      <c r="N25" s="6"/>
      <c r="O25" s="6"/>
      <c r="P25" s="6"/>
      <c r="Q25" s="6"/>
    </row>
    <row r="26" spans="1:17" ht="13.5" thickBot="1">
      <c r="A26" s="1">
        <v>512</v>
      </c>
      <c r="B26" s="6">
        <v>28.9</v>
      </c>
      <c r="C26" s="5">
        <f>A26*8</f>
        <v>4096</v>
      </c>
      <c r="D26" s="6">
        <f>C26/B26</f>
        <v>141.73010380622839</v>
      </c>
      <c r="E26" s="6">
        <f>$C$10*2+C$11*8/B26+C$12+C$13*8/B26+C$14</f>
        <v>94.67128027681662</v>
      </c>
      <c r="F26" s="2">
        <f>B26*D26/(D26+E26)</f>
        <v>17.32646370023419</v>
      </c>
      <c r="H26" s="6">
        <f>D26+E26</f>
        <v>236.401384083045</v>
      </c>
      <c r="I26" s="6">
        <f>100*(1-D26/H26)</f>
        <v>40.04683840749414</v>
      </c>
      <c r="J26" s="6">
        <f t="shared" si="1"/>
        <v>16</v>
      </c>
      <c r="K26" s="6">
        <f>J26+H26</f>
        <v>252.401384083045</v>
      </c>
      <c r="L26" s="6">
        <f aca="true" t="shared" si="2" ref="L26:N27">K26+$H26</f>
        <v>488.80276816609</v>
      </c>
      <c r="M26" s="6">
        <f t="shared" si="2"/>
        <v>725.204152249135</v>
      </c>
      <c r="N26" s="6">
        <f t="shared" si="2"/>
        <v>961.60553633218</v>
      </c>
      <c r="O26" s="6">
        <f>N26+$H26</f>
        <v>1198.006920415225</v>
      </c>
      <c r="P26" s="11">
        <f>$C$16^4/8/A26</f>
        <v>1.9775390625E-10</v>
      </c>
      <c r="Q26" s="11">
        <f>$C$16^5/8/A26</f>
        <v>5.9326171875E-12</v>
      </c>
    </row>
    <row r="27" spans="1:17" ht="13.5" thickBot="1">
      <c r="A27" s="16">
        <v>8200</v>
      </c>
      <c r="B27" s="15">
        <v>28.9</v>
      </c>
      <c r="C27" s="5">
        <f>A27*8</f>
        <v>65600</v>
      </c>
      <c r="D27" s="6">
        <f>C27/B27</f>
        <v>2269.8961937716263</v>
      </c>
      <c r="E27" s="6">
        <f>$C$10*2+C$11*8/B27+C$12+C$13*8/B27+C$14</f>
        <v>94.67128027681662</v>
      </c>
      <c r="F27" s="13">
        <f>B27*D27/(D27+E27)</f>
        <v>27.74291734956685</v>
      </c>
      <c r="H27" s="6">
        <f>D27+E27</f>
        <v>2364.567474048443</v>
      </c>
      <c r="I27" s="6">
        <f>100*(1-D27/H27)</f>
        <v>4.0037461952704305</v>
      </c>
      <c r="J27" s="6">
        <f t="shared" si="1"/>
        <v>16</v>
      </c>
      <c r="K27" s="6">
        <f>J27+H27</f>
        <v>2380.567474048443</v>
      </c>
      <c r="L27" s="6">
        <f t="shared" si="2"/>
        <v>4745.134948096886</v>
      </c>
      <c r="M27" s="6">
        <f t="shared" si="2"/>
        <v>7109.7024221453285</v>
      </c>
      <c r="N27" s="15">
        <f t="shared" si="2"/>
        <v>9474.269896193771</v>
      </c>
      <c r="O27" s="6">
        <f>N27+$H27</f>
        <v>11838.837370242214</v>
      </c>
      <c r="P27" s="14">
        <f>$C$16^4/8/A27</f>
        <v>1.2347560975609756E-11</v>
      </c>
      <c r="Q27" s="11">
        <f>$C$16^5/8/A27</f>
        <v>3.7042682926829266E-13</v>
      </c>
    </row>
    <row r="28" spans="1:17" ht="12.75">
      <c r="A28" s="1"/>
      <c r="B28" s="6"/>
      <c r="C28" s="5">
        <f>A28*8</f>
        <v>0</v>
      </c>
      <c r="D28" s="6"/>
      <c r="E28" s="6"/>
      <c r="F28" s="2"/>
      <c r="H28" s="6"/>
      <c r="I28" s="6"/>
      <c r="J28" s="6"/>
      <c r="K28" s="6"/>
      <c r="L28" s="6"/>
      <c r="M28" s="6"/>
      <c r="N28" s="6"/>
      <c r="O28" s="6"/>
      <c r="P28" s="6"/>
      <c r="Q28" s="6"/>
    </row>
    <row r="29" spans="1:17" ht="13.5" thickBot="1">
      <c r="A29" s="1">
        <v>512</v>
      </c>
      <c r="B29" s="6">
        <v>43.3</v>
      </c>
      <c r="C29" s="5">
        <f>A29*8</f>
        <v>4096</v>
      </c>
      <c r="D29" s="6">
        <f>C29/B29</f>
        <v>94.5958429561201</v>
      </c>
      <c r="E29" s="6">
        <f>$C$10*2+C$11*8/B29+C$12+C$13*8/B29+C$14</f>
        <v>89.79214780600462</v>
      </c>
      <c r="F29" s="2">
        <f>B29*D29/(D29+E29)</f>
        <v>22.214028056112223</v>
      </c>
      <c r="H29" s="6">
        <f>D29+E29</f>
        <v>184.38799076212473</v>
      </c>
      <c r="I29" s="6">
        <f>100*(1-D29/H29)</f>
        <v>48.697394789579164</v>
      </c>
      <c r="J29" s="6">
        <f t="shared" si="1"/>
        <v>16</v>
      </c>
      <c r="K29" s="6">
        <f>J29+H29</f>
        <v>200.38799076212473</v>
      </c>
      <c r="L29" s="6">
        <f aca="true" t="shared" si="3" ref="L29:O30">K29+$H29</f>
        <v>384.77598152424946</v>
      </c>
      <c r="M29" s="6">
        <f t="shared" si="3"/>
        <v>569.1639722863742</v>
      </c>
      <c r="N29" s="6">
        <f t="shared" si="3"/>
        <v>753.5519630484989</v>
      </c>
      <c r="O29" s="6">
        <f t="shared" si="3"/>
        <v>937.9399538106236</v>
      </c>
      <c r="P29" s="11">
        <f>$C$17^4/8/A29</f>
        <v>5.861816406250001E-09</v>
      </c>
      <c r="Q29" s="11">
        <f>$C$17^5/8/A29</f>
        <v>4.103271484375001E-10</v>
      </c>
    </row>
    <row r="30" spans="1:17" ht="13.5" thickBot="1">
      <c r="A30" s="16">
        <v>8200</v>
      </c>
      <c r="B30" s="15">
        <v>43.3</v>
      </c>
      <c r="C30" s="5">
        <f>A30*8</f>
        <v>65600</v>
      </c>
      <c r="D30" s="6">
        <f>C30/B30</f>
        <v>1515.011547344111</v>
      </c>
      <c r="E30" s="6">
        <f>$C$10*2+C$11*8/B30+C$12+C$13*8/B30+C$14</f>
        <v>89.79214780600462</v>
      </c>
      <c r="F30" s="13">
        <f>B30*D30/(D30+E30)</f>
        <v>40.877273773889016</v>
      </c>
      <c r="H30" s="6">
        <f>D30+E30</f>
        <v>1604.8036951501156</v>
      </c>
      <c r="I30" s="6">
        <f>100*(1-D30/H30)</f>
        <v>5.595210683859076</v>
      </c>
      <c r="J30" s="6">
        <f t="shared" si="1"/>
        <v>16</v>
      </c>
      <c r="K30" s="6">
        <f>J30+H30</f>
        <v>1620.8036951501156</v>
      </c>
      <c r="L30" s="6">
        <f t="shared" si="3"/>
        <v>3225.607390300231</v>
      </c>
      <c r="M30" s="6">
        <f t="shared" si="3"/>
        <v>4830.411085450347</v>
      </c>
      <c r="N30" s="6">
        <f t="shared" si="3"/>
        <v>6435.214780600462</v>
      </c>
      <c r="O30" s="15">
        <f t="shared" si="3"/>
        <v>8040.018475750578</v>
      </c>
      <c r="P30" s="11">
        <f>$C$17^4/8/A30</f>
        <v>3.660060975609757E-10</v>
      </c>
      <c r="Q30" s="14">
        <f>$C$17^5/8/A30</f>
        <v>2.56204268292683E-11</v>
      </c>
    </row>
    <row r="32" spans="1:11" ht="12.75">
      <c r="A32" s="8" t="s">
        <v>45</v>
      </c>
      <c r="B32" s="6"/>
      <c r="C32" s="5"/>
      <c r="D32" s="6"/>
      <c r="E32" s="6"/>
      <c r="F32" s="2"/>
      <c r="G32" s="6"/>
      <c r="H32" s="6"/>
      <c r="I32" s="6"/>
      <c r="J32" s="6"/>
      <c r="K32" s="6"/>
    </row>
    <row r="33" spans="1:11" ht="12.75">
      <c r="A33" s="1"/>
      <c r="B33" s="6"/>
      <c r="C33" s="5"/>
      <c r="D33" s="6"/>
      <c r="E33" s="6"/>
      <c r="F33" s="2"/>
      <c r="G33" s="6"/>
      <c r="H33" s="6"/>
      <c r="I33" s="6"/>
      <c r="J33" s="6"/>
      <c r="K33" s="6"/>
    </row>
    <row r="34" spans="1:17" ht="38.25">
      <c r="A34" s="3" t="s">
        <v>4</v>
      </c>
      <c r="B34" s="3" t="s">
        <v>17</v>
      </c>
      <c r="C34" s="3" t="s">
        <v>5</v>
      </c>
      <c r="D34" s="3" t="s">
        <v>36</v>
      </c>
      <c r="E34" s="3" t="s">
        <v>37</v>
      </c>
      <c r="F34" s="3" t="s">
        <v>34</v>
      </c>
      <c r="G34" s="3" t="s">
        <v>38</v>
      </c>
      <c r="H34" s="3" t="s">
        <v>39</v>
      </c>
      <c r="I34" s="3" t="s">
        <v>40</v>
      </c>
      <c r="J34" s="3" t="s">
        <v>43</v>
      </c>
      <c r="K34" s="3" t="s">
        <v>41</v>
      </c>
      <c r="L34" s="3" t="s">
        <v>42</v>
      </c>
      <c r="M34" s="3" t="s">
        <v>47</v>
      </c>
      <c r="N34" s="3" t="s">
        <v>51</v>
      </c>
      <c r="O34" s="3" t="s">
        <v>67</v>
      </c>
      <c r="P34" s="3" t="s">
        <v>57</v>
      </c>
      <c r="Q34" s="3" t="s">
        <v>73</v>
      </c>
    </row>
    <row r="35" spans="1:17" ht="12.75">
      <c r="A35" s="1"/>
      <c r="B35" s="1"/>
      <c r="C35" s="1"/>
      <c r="D35" s="1"/>
      <c r="E35" s="1"/>
      <c r="F35" s="1"/>
      <c r="G35" s="1"/>
      <c r="H35" s="1"/>
      <c r="I35" s="1"/>
      <c r="J35" s="1"/>
      <c r="K35" s="1"/>
      <c r="L35" s="1"/>
      <c r="M35" s="1"/>
      <c r="N35" s="1"/>
      <c r="O35" s="1"/>
      <c r="P35" s="10"/>
      <c r="Q35" s="10"/>
    </row>
    <row r="36" spans="1:17" ht="13.5" thickBot="1">
      <c r="A36" s="1">
        <v>512</v>
      </c>
      <c r="B36" s="6">
        <v>21.7</v>
      </c>
      <c r="C36" s="5">
        <f>A36*8</f>
        <v>4096</v>
      </c>
      <c r="D36" s="6">
        <f>C36/B36</f>
        <v>188.7557603686636</v>
      </c>
      <c r="E36" s="6">
        <f>$C$10*5+C$11*8/B36*3+C$12*3+C$13*8/B36*3+$C$14*2</f>
        <v>250.61751152073734</v>
      </c>
      <c r="F36" s="2">
        <f>$B36*$D36*3/($D36*3+$E36)</f>
        <v>15.042512862171675</v>
      </c>
      <c r="G36" s="2">
        <f>$B36*$D36/($D36*3+$E36)</f>
        <v>5.014170954057225</v>
      </c>
      <c r="H36" s="6">
        <f>D36*3+E36</f>
        <v>816.8847926267282</v>
      </c>
      <c r="I36" s="6">
        <f>100*(1-3*D36/H36)</f>
        <v>30.679664229623615</v>
      </c>
      <c r="J36" s="6">
        <f>$C$15</f>
        <v>16</v>
      </c>
      <c r="K36" s="6">
        <f>J36+H36/3</f>
        <v>288.2949308755761</v>
      </c>
      <c r="L36" s="6">
        <f aca="true" t="shared" si="4" ref="L36:O37">K36+$H36/3</f>
        <v>560.5898617511522</v>
      </c>
      <c r="M36" s="6">
        <f t="shared" si="4"/>
        <v>832.8847926267283</v>
      </c>
      <c r="N36" s="6">
        <f t="shared" si="4"/>
        <v>1105.1797235023043</v>
      </c>
      <c r="O36" s="6">
        <f t="shared" si="4"/>
        <v>1377.4746543778804</v>
      </c>
      <c r="P36" s="11">
        <f>$C$16^4/8/A36</f>
        <v>1.9775390625E-10</v>
      </c>
      <c r="Q36" s="11">
        <f>$C$16^5/8/A36</f>
        <v>5.9326171875E-12</v>
      </c>
    </row>
    <row r="37" spans="1:17" ht="13.5" thickBot="1">
      <c r="A37" s="16">
        <v>8200</v>
      </c>
      <c r="B37" s="15">
        <v>21.7</v>
      </c>
      <c r="C37" s="5">
        <f aca="true" t="shared" si="5" ref="C37:C43">A37*8</f>
        <v>65600</v>
      </c>
      <c r="D37" s="6">
        <f aca="true" t="shared" si="6" ref="D37:D43">C37/B37</f>
        <v>3023.041474654378</v>
      </c>
      <c r="E37" s="6">
        <f>$C$10*5+C$11*8/B37*3+C$12*3+C$13*8/B37*3+$C$14*2</f>
        <v>250.61751152073734</v>
      </c>
      <c r="F37" s="13">
        <f aca="true" t="shared" si="7" ref="F37:F43">$B37*$D37*3/($D37*3+$E37)</f>
        <v>21.116464528991525</v>
      </c>
      <c r="G37" s="2">
        <f aca="true" t="shared" si="8" ref="G37:G43">$B37*$D37/($D37*3+$E37)</f>
        <v>7.038821509663842</v>
      </c>
      <c r="H37" s="6">
        <f aca="true" t="shared" si="9" ref="H37:H43">D37*3+E37</f>
        <v>9319.741935483871</v>
      </c>
      <c r="I37" s="6">
        <f aca="true" t="shared" si="10" ref="I37:I43">100*(1-3*D37/H37)</f>
        <v>2.689103553034433</v>
      </c>
      <c r="J37" s="6">
        <f>$C$15</f>
        <v>16</v>
      </c>
      <c r="K37" s="6">
        <f>J37+H37/3</f>
        <v>3122.5806451612902</v>
      </c>
      <c r="L37" s="6">
        <f t="shared" si="4"/>
        <v>6229.1612903225805</v>
      </c>
      <c r="M37" s="6">
        <f t="shared" si="4"/>
        <v>9335.741935483871</v>
      </c>
      <c r="N37" s="15">
        <f t="shared" si="4"/>
        <v>12442.322580645161</v>
      </c>
      <c r="O37" s="6">
        <f t="shared" si="4"/>
        <v>15548.90322580645</v>
      </c>
      <c r="P37" s="14">
        <f>$C$16^4/8/A37</f>
        <v>1.2347560975609756E-11</v>
      </c>
      <c r="Q37" s="11">
        <f>$C$16^5/8/A37</f>
        <v>3.7042682926829266E-13</v>
      </c>
    </row>
    <row r="38" spans="1:17" ht="12.75">
      <c r="A38" s="1"/>
      <c r="B38" s="6"/>
      <c r="C38" s="5"/>
      <c r="D38" s="6"/>
      <c r="E38" s="6"/>
      <c r="F38" s="2"/>
      <c r="G38" s="2"/>
      <c r="H38" s="6"/>
      <c r="I38" s="6"/>
      <c r="J38" s="6"/>
      <c r="K38" s="6"/>
      <c r="L38" s="6"/>
      <c r="N38" s="6"/>
      <c r="O38" s="6"/>
      <c r="P38" s="6"/>
      <c r="Q38" s="6"/>
    </row>
    <row r="39" spans="1:17" ht="13.5" thickBot="1">
      <c r="A39" s="1">
        <v>512</v>
      </c>
      <c r="B39" s="6">
        <v>28.9</v>
      </c>
      <c r="C39" s="5">
        <f t="shared" si="5"/>
        <v>4096</v>
      </c>
      <c r="D39" s="6">
        <f t="shared" si="6"/>
        <v>141.73010380622839</v>
      </c>
      <c r="E39" s="6">
        <f>$C$10*5+C$11*8/B39*3+C$12*3+C$13*8/B39*3+$C$14*2</f>
        <v>236.01384083044985</v>
      </c>
      <c r="F39" s="2">
        <f t="shared" si="7"/>
        <v>18.58427530771163</v>
      </c>
      <c r="G39" s="2">
        <f t="shared" si="8"/>
        <v>6.194758435903877</v>
      </c>
      <c r="H39" s="6">
        <f t="shared" si="9"/>
        <v>661.204152249135</v>
      </c>
      <c r="I39" s="6">
        <f t="shared" si="10"/>
        <v>35.69454910826425</v>
      </c>
      <c r="J39" s="6">
        <f>$C$15</f>
        <v>16</v>
      </c>
      <c r="K39" s="6">
        <f>J39+H39/3</f>
        <v>236.40138408304497</v>
      </c>
      <c r="L39" s="6">
        <f aca="true" t="shared" si="11" ref="L39:O40">K39+$H39/3</f>
        <v>456.80276816608995</v>
      </c>
      <c r="M39" s="6">
        <f t="shared" si="11"/>
        <v>677.204152249135</v>
      </c>
      <c r="N39" s="6">
        <f t="shared" si="11"/>
        <v>897.6055363321799</v>
      </c>
      <c r="O39" s="6">
        <f t="shared" si="11"/>
        <v>1118.0069204152248</v>
      </c>
      <c r="P39" s="11">
        <f>$C$16^4/8/A39</f>
        <v>1.9775390625E-10</v>
      </c>
      <c r="Q39" s="11">
        <f>$C$16^5/8/A39</f>
        <v>5.9326171875E-12</v>
      </c>
    </row>
    <row r="40" spans="1:17" ht="13.5" thickBot="1">
      <c r="A40" s="16">
        <v>8200</v>
      </c>
      <c r="B40" s="15">
        <v>28.9</v>
      </c>
      <c r="C40" s="5">
        <f t="shared" si="5"/>
        <v>65600</v>
      </c>
      <c r="D40" s="6">
        <f t="shared" si="6"/>
        <v>2269.8961937716263</v>
      </c>
      <c r="E40" s="6">
        <f>$C$10*5+C$11*8/B40*3+C$12*3+C$13*8/B40*3+$C$14*2</f>
        <v>236.01384083044985</v>
      </c>
      <c r="F40" s="13">
        <f t="shared" si="7"/>
        <v>27.931920511067634</v>
      </c>
      <c r="G40" s="2">
        <f t="shared" si="8"/>
        <v>9.310640170355878</v>
      </c>
      <c r="H40" s="6">
        <f t="shared" si="9"/>
        <v>7045.7024221453285</v>
      </c>
      <c r="I40" s="6">
        <f t="shared" si="10"/>
        <v>3.349756017067018</v>
      </c>
      <c r="J40" s="6">
        <f>$C$15</f>
        <v>16</v>
      </c>
      <c r="K40" s="6">
        <f>J40+H40/3</f>
        <v>2364.567474048443</v>
      </c>
      <c r="L40" s="6">
        <f t="shared" si="11"/>
        <v>4713.134948096886</v>
      </c>
      <c r="M40" s="6">
        <f t="shared" si="11"/>
        <v>7061.7024221453285</v>
      </c>
      <c r="N40" s="15">
        <f t="shared" si="11"/>
        <v>9410.269896193771</v>
      </c>
      <c r="O40" s="6">
        <f t="shared" si="11"/>
        <v>11758.837370242214</v>
      </c>
      <c r="P40" s="14">
        <f>$C$16^4/8/A40</f>
        <v>1.2347560975609756E-11</v>
      </c>
      <c r="Q40" s="11">
        <f>$C$16^5/8/A40</f>
        <v>3.7042682926829266E-13</v>
      </c>
    </row>
    <row r="41" spans="1:17" ht="12.75">
      <c r="A41" s="1"/>
      <c r="B41" s="6"/>
      <c r="C41" s="5"/>
      <c r="D41" s="6"/>
      <c r="E41" s="6"/>
      <c r="F41" s="2"/>
      <c r="G41" s="2"/>
      <c r="H41" s="6"/>
      <c r="I41" s="6"/>
      <c r="J41" s="6"/>
      <c r="K41" s="6"/>
      <c r="L41" s="6"/>
      <c r="N41" s="6"/>
      <c r="O41" s="6"/>
      <c r="P41" s="6"/>
      <c r="Q41" s="6"/>
    </row>
    <row r="42" spans="1:17" ht="13.5" thickBot="1">
      <c r="A42" s="1">
        <v>512</v>
      </c>
      <c r="B42" s="6">
        <v>43.3</v>
      </c>
      <c r="C42" s="5">
        <f t="shared" si="5"/>
        <v>4096</v>
      </c>
      <c r="D42" s="6">
        <f t="shared" si="6"/>
        <v>94.5958429561201</v>
      </c>
      <c r="E42" s="6">
        <f>$C$10*5+C$11*8/B42*3+C$12*3+C$13*8/B42*3+$C$14*2</f>
        <v>221.37644341801385</v>
      </c>
      <c r="F42" s="2">
        <f t="shared" si="7"/>
        <v>24.32477507131885</v>
      </c>
      <c r="G42" s="2">
        <f t="shared" si="8"/>
        <v>8.108258357106283</v>
      </c>
      <c r="H42" s="6">
        <f t="shared" si="9"/>
        <v>505.16397228637413</v>
      </c>
      <c r="I42" s="6">
        <f t="shared" si="10"/>
        <v>43.822690366469175</v>
      </c>
      <c r="J42" s="6">
        <f>$C$15</f>
        <v>16</v>
      </c>
      <c r="K42" s="6">
        <f>J42+H42/3</f>
        <v>184.3879907621247</v>
      </c>
      <c r="L42" s="6">
        <f aca="true" t="shared" si="12" ref="L42:O43">K42+$H42/3</f>
        <v>352.7759815242494</v>
      </c>
      <c r="M42" s="6">
        <f t="shared" si="12"/>
        <v>521.1639722863741</v>
      </c>
      <c r="N42" s="6">
        <f t="shared" si="12"/>
        <v>689.5519630484988</v>
      </c>
      <c r="O42" s="6">
        <f t="shared" si="12"/>
        <v>857.9399538106235</v>
      </c>
      <c r="P42" s="11">
        <f>$C$17^4/8/A42</f>
        <v>5.861816406250001E-09</v>
      </c>
      <c r="Q42" s="11">
        <f>$C$17^5/8/A42</f>
        <v>4.103271484375001E-10</v>
      </c>
    </row>
    <row r="43" spans="1:17" ht="13.5" thickBot="1">
      <c r="A43" s="16">
        <v>8200</v>
      </c>
      <c r="B43" s="15">
        <v>43.3</v>
      </c>
      <c r="C43" s="5">
        <f t="shared" si="5"/>
        <v>65600</v>
      </c>
      <c r="D43" s="6">
        <f t="shared" si="6"/>
        <v>1515.011547344111</v>
      </c>
      <c r="E43" s="6">
        <f>$C$10*5+C$11*8/B43*3+C$12*3+C$13*8/B43*3+$C$14*2</f>
        <v>221.37644341801385</v>
      </c>
      <c r="F43" s="13">
        <f t="shared" si="7"/>
        <v>41.288927134451235</v>
      </c>
      <c r="G43" s="2">
        <f t="shared" si="8"/>
        <v>13.762975711483746</v>
      </c>
      <c r="H43" s="6">
        <f t="shared" si="9"/>
        <v>4766.411085450347</v>
      </c>
      <c r="I43" s="6">
        <f t="shared" si="10"/>
        <v>4.644510082098751</v>
      </c>
      <c r="J43" s="6">
        <f>$C$15</f>
        <v>16</v>
      </c>
      <c r="K43" s="6">
        <f>J43+H43/3</f>
        <v>1604.8036951501156</v>
      </c>
      <c r="L43" s="6">
        <f t="shared" si="12"/>
        <v>3193.607390300231</v>
      </c>
      <c r="M43" s="6">
        <f t="shared" si="12"/>
        <v>4782.411085450347</v>
      </c>
      <c r="N43" s="6">
        <f t="shared" si="12"/>
        <v>6371.214780600462</v>
      </c>
      <c r="O43" s="15">
        <f t="shared" si="12"/>
        <v>7960.018475750578</v>
      </c>
      <c r="P43" s="11">
        <f>$C$17^4/8/A43</f>
        <v>3.660060975609757E-10</v>
      </c>
      <c r="Q43" s="14">
        <f>$C$17^5/8/A43</f>
        <v>2.56204268292683E-11</v>
      </c>
    </row>
  </sheetData>
  <mergeCells count="8">
    <mergeCell ref="A11:B11"/>
    <mergeCell ref="A12:B12"/>
    <mergeCell ref="A13:B13"/>
    <mergeCell ref="A14:B14"/>
    <mergeCell ref="A3:G3"/>
    <mergeCell ref="A4:E4"/>
    <mergeCell ref="A5:G5"/>
    <mergeCell ref="A10:B10"/>
  </mergeCells>
  <printOptions/>
  <pageMargins left="0.75" right="0.75" top="1" bottom="1" header="0.5" footer="0.5"/>
  <pageSetup fitToHeight="1" fitToWidth="1" horizontalDpi="600" verticalDpi="600" orientation="landscape" scale="71" r:id="rId1"/>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zoomScale="75" zoomScaleNormal="75" workbookViewId="0" topLeftCell="A1">
      <selection activeCell="O35" sqref="O35"/>
    </sheetView>
  </sheetViews>
  <sheetFormatPr defaultColWidth="9.140625" defaultRowHeight="12.75"/>
  <cols>
    <col min="1" max="1" width="16.57421875" style="0" customWidth="1"/>
    <col min="6" max="6" width="10.7109375" style="0" customWidth="1"/>
    <col min="7" max="7" width="10.8515625" style="0" customWidth="1"/>
  </cols>
  <sheetData>
    <row r="1" ht="15">
      <c r="B1" s="43" t="s">
        <v>104</v>
      </c>
    </row>
    <row r="3" spans="1:8" ht="12.75">
      <c r="A3" s="54" t="s">
        <v>10</v>
      </c>
      <c r="B3" s="54"/>
      <c r="C3" s="54"/>
      <c r="D3" s="54"/>
      <c r="E3" s="54"/>
      <c r="F3" s="54"/>
      <c r="G3" s="54"/>
      <c r="H3" s="4"/>
    </row>
    <row r="4" spans="1:5" ht="12.75">
      <c r="A4" s="54" t="s">
        <v>11</v>
      </c>
      <c r="B4" s="54"/>
      <c r="C4" s="54"/>
      <c r="D4" s="54"/>
      <c r="E4" s="54"/>
    </row>
    <row r="5" spans="1:8" ht="12.75">
      <c r="A5" s="54" t="s">
        <v>32</v>
      </c>
      <c r="B5" s="54"/>
      <c r="C5" s="54"/>
      <c r="D5" s="54"/>
      <c r="E5" s="54"/>
      <c r="F5" s="54"/>
      <c r="G5" s="54"/>
      <c r="H5" s="4"/>
    </row>
    <row r="6" spans="1:8" ht="12.75">
      <c r="A6" s="4" t="s">
        <v>23</v>
      </c>
      <c r="B6" s="4"/>
      <c r="C6" s="4"/>
      <c r="D6" s="4"/>
      <c r="E6" s="4"/>
      <c r="F6" s="4"/>
      <c r="G6" s="4"/>
      <c r="H6" s="4"/>
    </row>
    <row r="7" spans="1:8" ht="12.75">
      <c r="A7" s="4" t="s">
        <v>58</v>
      </c>
      <c r="B7" s="4"/>
      <c r="C7" s="4"/>
      <c r="D7" s="4"/>
      <c r="E7" s="4"/>
      <c r="F7" s="4"/>
      <c r="G7" s="4"/>
      <c r="H7" s="4"/>
    </row>
    <row r="8" spans="1:7" ht="12.75">
      <c r="A8" s="4" t="s">
        <v>59</v>
      </c>
      <c r="B8" s="4"/>
      <c r="C8" s="4"/>
      <c r="D8" s="4"/>
      <c r="E8" s="4"/>
      <c r="F8" s="4"/>
      <c r="G8" s="4"/>
    </row>
    <row r="11" spans="1:3" ht="12.75">
      <c r="A11" s="55" t="s">
        <v>7</v>
      </c>
      <c r="B11" s="55"/>
      <c r="C11" s="1">
        <v>50</v>
      </c>
    </row>
    <row r="12" spans="1:3" ht="12.75">
      <c r="A12" s="55" t="s">
        <v>6</v>
      </c>
      <c r="B12" s="55"/>
      <c r="C12" s="1">
        <v>34</v>
      </c>
    </row>
    <row r="13" spans="2:3" ht="12.75">
      <c r="B13" s="7" t="s">
        <v>8</v>
      </c>
      <c r="C13" s="1">
        <v>10</v>
      </c>
    </row>
    <row r="14" spans="2:3" ht="12.75">
      <c r="B14" s="7" t="s">
        <v>30</v>
      </c>
      <c r="C14" s="1">
        <v>19</v>
      </c>
    </row>
    <row r="15" spans="2:3" ht="12.75">
      <c r="B15" s="7" t="s">
        <v>31</v>
      </c>
      <c r="C15" s="1">
        <v>30</v>
      </c>
    </row>
    <row r="16" spans="1:3" ht="12.75">
      <c r="A16" s="7"/>
      <c r="B16" s="7" t="s">
        <v>56</v>
      </c>
      <c r="C16" s="1">
        <v>10</v>
      </c>
    </row>
    <row r="17" spans="1:3" ht="15.75">
      <c r="A17" s="7"/>
      <c r="B17" s="7" t="s">
        <v>60</v>
      </c>
      <c r="C17" s="1"/>
    </row>
    <row r="18" spans="1:3" ht="12.75">
      <c r="A18" s="7"/>
      <c r="B18" s="7"/>
      <c r="C18" s="1"/>
    </row>
    <row r="19" spans="1:13" ht="12.75">
      <c r="A19" s="8" t="s">
        <v>44</v>
      </c>
      <c r="B19" s="7"/>
      <c r="E19" s="6"/>
      <c r="F19" s="2"/>
      <c r="G19" s="6"/>
      <c r="H19" s="6"/>
      <c r="I19" s="6"/>
      <c r="J19" s="6"/>
      <c r="K19" s="6"/>
      <c r="L19" s="6"/>
      <c r="M19" s="6"/>
    </row>
    <row r="20" spans="1:13" ht="12.75">
      <c r="A20" s="1"/>
      <c r="B20" s="5"/>
      <c r="C20" s="5"/>
      <c r="D20" s="6"/>
      <c r="E20" s="6"/>
      <c r="F20" s="2"/>
      <c r="G20" s="6"/>
      <c r="H20" s="6"/>
      <c r="I20" s="6"/>
      <c r="J20" s="6"/>
      <c r="K20" s="6"/>
      <c r="L20" s="6"/>
      <c r="M20" s="6"/>
    </row>
    <row r="21" spans="1:16" ht="38.25">
      <c r="A21" s="3" t="s">
        <v>4</v>
      </c>
      <c r="B21" s="3" t="s">
        <v>17</v>
      </c>
      <c r="C21" s="3" t="s">
        <v>5</v>
      </c>
      <c r="D21" s="3" t="s">
        <v>13</v>
      </c>
      <c r="E21" s="3" t="s">
        <v>14</v>
      </c>
      <c r="F21" s="3" t="s">
        <v>18</v>
      </c>
      <c r="H21" s="3" t="s">
        <v>20</v>
      </c>
      <c r="I21" s="3" t="s">
        <v>28</v>
      </c>
      <c r="J21" s="3" t="s">
        <v>21</v>
      </c>
      <c r="K21" s="3" t="s">
        <v>22</v>
      </c>
      <c r="L21" s="3" t="s">
        <v>24</v>
      </c>
      <c r="M21" s="3" t="s">
        <v>54</v>
      </c>
      <c r="N21" s="3" t="s">
        <v>55</v>
      </c>
      <c r="O21" s="3" t="s">
        <v>74</v>
      </c>
      <c r="P21" s="3" t="s">
        <v>73</v>
      </c>
    </row>
    <row r="22" spans="1:16" ht="12.75">
      <c r="A22" s="1" t="s">
        <v>3</v>
      </c>
      <c r="B22" s="1" t="s">
        <v>2</v>
      </c>
      <c r="C22" s="1" t="s">
        <v>0</v>
      </c>
      <c r="D22" s="1" t="s">
        <v>16</v>
      </c>
      <c r="E22" s="1" t="s">
        <v>29</v>
      </c>
      <c r="F22" s="1" t="s">
        <v>15</v>
      </c>
      <c r="H22" s="1" t="s">
        <v>1</v>
      </c>
      <c r="I22" s="1" t="s">
        <v>19</v>
      </c>
      <c r="J22" s="1" t="s">
        <v>25</v>
      </c>
      <c r="K22" s="1" t="s">
        <v>26</v>
      </c>
      <c r="L22" s="1" t="s">
        <v>27</v>
      </c>
      <c r="M22" s="1" t="s">
        <v>52</v>
      </c>
      <c r="N22" s="1" t="s">
        <v>53</v>
      </c>
      <c r="O22" s="1" t="s">
        <v>53</v>
      </c>
      <c r="P22" s="10"/>
    </row>
    <row r="23" spans="1:16" ht="13.5" thickBot="1">
      <c r="A23" s="1">
        <v>512</v>
      </c>
      <c r="B23" s="12">
        <v>50</v>
      </c>
      <c r="C23" s="5">
        <f>A23*8</f>
        <v>4096</v>
      </c>
      <c r="D23" s="6">
        <f>C23/B23*1.1</f>
        <v>90.11200000000001</v>
      </c>
      <c r="E23" s="6">
        <f>$C$11*2+C$12*8/B23/1.1+C$13+C$14*8/B23/1.1+C$15</f>
        <v>147.7090909090909</v>
      </c>
      <c r="F23" s="2">
        <f>B23*D23/(D23+E23)</f>
        <v>18.945334002030556</v>
      </c>
      <c r="H23" s="6">
        <f>D23+E23</f>
        <v>237.8210909090909</v>
      </c>
      <c r="I23" s="6">
        <f>100*(1-D23/H23)</f>
        <v>62.10933199593889</v>
      </c>
      <c r="J23" s="6">
        <f>$C$16</f>
        <v>10</v>
      </c>
      <c r="K23" s="6">
        <f>J23+H23</f>
        <v>247.8210909090909</v>
      </c>
      <c r="L23" s="6">
        <f aca="true" t="shared" si="0" ref="L23:O24">K23+$H23</f>
        <v>485.6421818181818</v>
      </c>
      <c r="M23" s="6">
        <f t="shared" si="0"/>
        <v>723.4632727272727</v>
      </c>
      <c r="N23" s="6">
        <f t="shared" si="0"/>
        <v>961.2843636363637</v>
      </c>
      <c r="O23" s="6">
        <f t="shared" si="0"/>
        <v>1199.1054545454544</v>
      </c>
      <c r="P23" s="11"/>
    </row>
    <row r="24" spans="1:16" ht="13.5" thickBot="1">
      <c r="A24" s="16">
        <v>8000</v>
      </c>
      <c r="B24" s="17">
        <v>50</v>
      </c>
      <c r="C24" s="5">
        <f>A24*8</f>
        <v>64000</v>
      </c>
      <c r="D24" s="6">
        <f>C24/B24*1.1</f>
        <v>1408</v>
      </c>
      <c r="E24" s="6">
        <f>$C$11*2+C$12*8/B24/1.1+C$13+C$14*8/B24/1.1+C$15</f>
        <v>147.7090909090909</v>
      </c>
      <c r="F24" s="13">
        <f>B24*D24/(D24+E24)</f>
        <v>45.252676359216494</v>
      </c>
      <c r="H24" s="6">
        <f>D24+E24</f>
        <v>1555.709090909091</v>
      </c>
      <c r="I24" s="6">
        <f>100*(1-D24/H24)</f>
        <v>9.494647281567016</v>
      </c>
      <c r="J24" s="6">
        <f>$C$16</f>
        <v>10</v>
      </c>
      <c r="K24" s="6">
        <f>J24+H24</f>
        <v>1565.709090909091</v>
      </c>
      <c r="L24" s="6">
        <f t="shared" si="0"/>
        <v>3121.418181818182</v>
      </c>
      <c r="M24" s="6">
        <f t="shared" si="0"/>
        <v>4677.127272727273</v>
      </c>
      <c r="N24" s="18">
        <f t="shared" si="0"/>
        <v>6232.836363636364</v>
      </c>
      <c r="O24" s="15">
        <f t="shared" si="0"/>
        <v>7788.545454545455</v>
      </c>
      <c r="P24" s="58"/>
    </row>
    <row r="25" spans="1:11" ht="12.75">
      <c r="A25" s="1"/>
      <c r="B25" s="5"/>
      <c r="C25" s="5"/>
      <c r="D25" s="6"/>
      <c r="E25" s="6"/>
      <c r="F25" s="2"/>
      <c r="G25" s="6"/>
      <c r="H25" s="6"/>
      <c r="I25" s="6"/>
      <c r="J25" s="6"/>
      <c r="K25" s="6"/>
    </row>
    <row r="26" spans="1:11" ht="12.75">
      <c r="A26" s="8" t="s">
        <v>45</v>
      </c>
      <c r="B26" s="6"/>
      <c r="C26" s="5"/>
      <c r="D26" s="6"/>
      <c r="E26" s="6"/>
      <c r="F26" s="2"/>
      <c r="G26" s="6"/>
      <c r="H26" s="6"/>
      <c r="I26" s="6"/>
      <c r="J26" s="6"/>
      <c r="K26" s="6"/>
    </row>
    <row r="27" spans="1:11" ht="12.75">
      <c r="A27" s="1"/>
      <c r="B27" s="6"/>
      <c r="C27" s="5"/>
      <c r="D27" s="6"/>
      <c r="E27" s="6"/>
      <c r="F27" s="2"/>
      <c r="G27" s="6"/>
      <c r="H27" s="6"/>
      <c r="I27" s="6"/>
      <c r="J27" s="6"/>
      <c r="K27" s="6"/>
    </row>
    <row r="28" spans="1:16" ht="51">
      <c r="A28" s="3" t="s">
        <v>4</v>
      </c>
      <c r="B28" s="3" t="s">
        <v>17</v>
      </c>
      <c r="C28" s="3" t="s">
        <v>5</v>
      </c>
      <c r="D28" s="3" t="s">
        <v>36</v>
      </c>
      <c r="E28" s="3" t="s">
        <v>37</v>
      </c>
      <c r="F28" s="3" t="s">
        <v>34</v>
      </c>
      <c r="G28" s="3" t="s">
        <v>38</v>
      </c>
      <c r="H28" s="3" t="s">
        <v>39</v>
      </c>
      <c r="I28" s="3" t="s">
        <v>40</v>
      </c>
      <c r="J28" s="3" t="s">
        <v>43</v>
      </c>
      <c r="K28" s="3" t="s">
        <v>41</v>
      </c>
      <c r="L28" s="3" t="s">
        <v>42</v>
      </c>
      <c r="M28" s="3" t="s">
        <v>47</v>
      </c>
      <c r="N28" s="3" t="s">
        <v>46</v>
      </c>
      <c r="O28" s="3" t="s">
        <v>122</v>
      </c>
      <c r="P28" s="3" t="s">
        <v>73</v>
      </c>
    </row>
    <row r="29" spans="1:16" ht="12.75">
      <c r="A29" s="1" t="s">
        <v>3</v>
      </c>
      <c r="B29" s="1" t="s">
        <v>2</v>
      </c>
      <c r="C29" s="1" t="s">
        <v>0</v>
      </c>
      <c r="D29" s="1" t="s">
        <v>16</v>
      </c>
      <c r="E29" s="1" t="s">
        <v>29</v>
      </c>
      <c r="F29" s="1" t="s">
        <v>15</v>
      </c>
      <c r="G29" s="1" t="s">
        <v>35</v>
      </c>
      <c r="H29" s="1" t="s">
        <v>1</v>
      </c>
      <c r="I29" s="1" t="s">
        <v>19</v>
      </c>
      <c r="J29" s="1" t="s">
        <v>25</v>
      </c>
      <c r="K29" s="1" t="s">
        <v>26</v>
      </c>
      <c r="L29" s="1" t="s">
        <v>27</v>
      </c>
      <c r="M29" s="1" t="s">
        <v>52</v>
      </c>
      <c r="N29" s="1" t="s">
        <v>53</v>
      </c>
      <c r="O29" s="1" t="s">
        <v>53</v>
      </c>
      <c r="P29" s="10"/>
    </row>
    <row r="30" spans="1:16" ht="13.5" thickBot="1">
      <c r="A30" s="1">
        <v>512</v>
      </c>
      <c r="B30" s="6">
        <v>50</v>
      </c>
      <c r="C30" s="5">
        <f>A30*8</f>
        <v>4096</v>
      </c>
      <c r="D30" s="6">
        <f>C30/B30</f>
        <v>81.92</v>
      </c>
      <c r="E30" s="6">
        <f>$C$11*5+C$12*8/B30*3+C$13*3+C$14*8/B30*3+$C$15*2</f>
        <v>365.44</v>
      </c>
      <c r="F30" s="2">
        <f>$B30*$D30*3/($D30*3+$E30)</f>
        <v>20.104712041884817</v>
      </c>
      <c r="G30" s="2">
        <f>$B30*$D30/($D30*3+$E30)</f>
        <v>6.701570680628271</v>
      </c>
      <c r="H30" s="6">
        <f>D30*3+E30</f>
        <v>611.2</v>
      </c>
      <c r="I30" s="6">
        <f>100*(1-3*D30/H30)</f>
        <v>59.790575916230374</v>
      </c>
      <c r="J30" s="6">
        <f>$C$16</f>
        <v>10</v>
      </c>
      <c r="K30" s="6">
        <f>J30+H30/3</f>
        <v>213.73333333333335</v>
      </c>
      <c r="L30" s="6">
        <f aca="true" t="shared" si="1" ref="L30:O31">K30+$H30/3</f>
        <v>417.4666666666667</v>
      </c>
      <c r="M30" s="6">
        <f t="shared" si="1"/>
        <v>621.2</v>
      </c>
      <c r="N30" s="6">
        <f t="shared" si="1"/>
        <v>824.9333333333334</v>
      </c>
      <c r="O30" s="6">
        <f t="shared" si="1"/>
        <v>1028.6666666666667</v>
      </c>
      <c r="P30" s="11"/>
    </row>
    <row r="31" spans="1:16" ht="13.5" thickBot="1">
      <c r="A31" s="16">
        <v>8000</v>
      </c>
      <c r="B31" s="15">
        <v>50</v>
      </c>
      <c r="C31" s="5">
        <f>A31*8</f>
        <v>64000</v>
      </c>
      <c r="D31" s="6">
        <f>C31/B31</f>
        <v>1280</v>
      </c>
      <c r="E31" s="6">
        <f>$C$11*5+C$12*8/B31*3+C$13*3+C$14*8/B31*3+$C$15*2</f>
        <v>365.44</v>
      </c>
      <c r="F31" s="13">
        <f>$B31*$D31*3/($D31*3+$E31)</f>
        <v>45.65515142291889</v>
      </c>
      <c r="G31" s="2">
        <f>$B31*$D31/($D31*3+$E31)</f>
        <v>15.218383807639631</v>
      </c>
      <c r="H31" s="6">
        <f>D31*3+E31</f>
        <v>4205.44</v>
      </c>
      <c r="I31" s="6">
        <f>100*(1-3*D31/H31)</f>
        <v>8.689697154162223</v>
      </c>
      <c r="J31" s="6">
        <f>$C$16</f>
        <v>10</v>
      </c>
      <c r="K31" s="6">
        <f>J31+H31/3</f>
        <v>1411.8133333333333</v>
      </c>
      <c r="L31" s="6">
        <f t="shared" si="1"/>
        <v>2813.6266666666666</v>
      </c>
      <c r="M31" s="6">
        <f t="shared" si="1"/>
        <v>4215.44</v>
      </c>
      <c r="N31" s="18">
        <f t="shared" si="1"/>
        <v>5617.253333333333</v>
      </c>
      <c r="O31" s="15">
        <f t="shared" si="1"/>
        <v>7019.066666666667</v>
      </c>
      <c r="P31" s="58"/>
    </row>
    <row r="32" spans="1:11" ht="12.75">
      <c r="A32" s="1"/>
      <c r="B32" s="5"/>
      <c r="C32" s="5"/>
      <c r="D32" s="6"/>
      <c r="E32" s="6"/>
      <c r="F32" s="2"/>
      <c r="G32" s="6"/>
      <c r="H32" s="6"/>
      <c r="I32" s="6"/>
      <c r="J32" s="6"/>
      <c r="K32" s="6"/>
    </row>
    <row r="33" spans="1:11" ht="12.75">
      <c r="A33" s="1"/>
      <c r="B33" s="5"/>
      <c r="C33" s="5"/>
      <c r="D33" s="6"/>
      <c r="E33" s="6"/>
      <c r="F33" s="2"/>
      <c r="G33" s="6"/>
      <c r="H33" s="6"/>
      <c r="I33" s="6"/>
      <c r="J33" s="6"/>
      <c r="K33" s="6"/>
    </row>
    <row r="34" spans="1:11" ht="12.75">
      <c r="A34" s="1"/>
      <c r="B34" s="5"/>
      <c r="C34" s="5"/>
      <c r="D34" s="6"/>
      <c r="E34" s="6"/>
      <c r="F34" s="2"/>
      <c r="G34" s="6"/>
      <c r="H34" s="6"/>
      <c r="I34" s="6"/>
      <c r="J34" s="6"/>
      <c r="K34" s="6"/>
    </row>
    <row r="35" spans="1:11" ht="12.75">
      <c r="A35" s="1"/>
      <c r="B35" s="5"/>
      <c r="C35" s="5"/>
      <c r="D35" s="6"/>
      <c r="E35" s="6"/>
      <c r="F35" s="2"/>
      <c r="G35" s="6"/>
      <c r="H35" s="6"/>
      <c r="I35" s="6"/>
      <c r="J35" s="6"/>
      <c r="K35" s="6"/>
    </row>
    <row r="36" spans="1:11" ht="12.75">
      <c r="A36" s="1"/>
      <c r="B36" s="5"/>
      <c r="C36" s="5"/>
      <c r="D36" s="6"/>
      <c r="E36" s="6"/>
      <c r="F36" s="2"/>
      <c r="G36" s="6"/>
      <c r="H36" s="6"/>
      <c r="I36" s="6"/>
      <c r="J36" s="6"/>
      <c r="K36" s="6"/>
    </row>
  </sheetData>
  <mergeCells count="5">
    <mergeCell ref="A12:B12"/>
    <mergeCell ref="A3:G3"/>
    <mergeCell ref="A4:E4"/>
    <mergeCell ref="A5:G5"/>
    <mergeCell ref="A11:B11"/>
  </mergeCells>
  <printOptions/>
  <pageMargins left="0.75" right="0.75" top="1" bottom="1" header="0.5" footer="0.5"/>
  <pageSetup fitToHeight="1" fitToWidth="1" horizontalDpi="600" verticalDpi="600" orientation="landscape" scale="78" r:id="rId1"/>
</worksheet>
</file>

<file path=xl/worksheets/sheet5.xml><?xml version="1.0" encoding="utf-8"?>
<worksheet xmlns="http://schemas.openxmlformats.org/spreadsheetml/2006/main" xmlns:r="http://schemas.openxmlformats.org/officeDocument/2006/relationships">
  <sheetPr>
    <pageSetUpPr fitToPage="1"/>
  </sheetPr>
  <dimension ref="A1:O34"/>
  <sheetViews>
    <sheetView zoomScale="75" zoomScaleNormal="75" workbookViewId="0" topLeftCell="A1">
      <selection activeCell="F16" sqref="F16"/>
    </sheetView>
  </sheetViews>
  <sheetFormatPr defaultColWidth="9.140625" defaultRowHeight="12.75"/>
  <cols>
    <col min="1" max="1" width="18.421875" style="0" customWidth="1"/>
    <col min="6" max="6" width="12.28125" style="0" customWidth="1"/>
    <col min="7" max="7" width="10.421875" style="0" customWidth="1"/>
  </cols>
  <sheetData>
    <row r="1" ht="15">
      <c r="B1" s="43" t="s">
        <v>105</v>
      </c>
    </row>
    <row r="3" spans="1:8" ht="12.75">
      <c r="A3" s="54" t="s">
        <v>10</v>
      </c>
      <c r="B3" s="54"/>
      <c r="C3" s="54"/>
      <c r="D3" s="54"/>
      <c r="E3" s="54"/>
      <c r="F3" s="54"/>
      <c r="G3" s="54"/>
      <c r="H3" s="4"/>
    </row>
    <row r="4" spans="1:5" ht="12.75">
      <c r="A4" s="54" t="s">
        <v>11</v>
      </c>
      <c r="B4" s="54"/>
      <c r="C4" s="54"/>
      <c r="D4" s="54"/>
      <c r="E4" s="54"/>
    </row>
    <row r="5" spans="1:8" ht="12.75">
      <c r="A5" s="54" t="s">
        <v>12</v>
      </c>
      <c r="B5" s="54"/>
      <c r="C5" s="54"/>
      <c r="D5" s="54"/>
      <c r="E5" s="54"/>
      <c r="F5" s="54"/>
      <c r="G5" s="54"/>
      <c r="H5" s="4"/>
    </row>
    <row r="6" spans="1:8" ht="12.75">
      <c r="A6" s="4" t="s">
        <v>23</v>
      </c>
      <c r="B6" s="4"/>
      <c r="C6" s="4"/>
      <c r="D6" s="4"/>
      <c r="E6" s="4"/>
      <c r="F6" s="4"/>
      <c r="G6" s="4"/>
      <c r="H6" s="4"/>
    </row>
    <row r="7" spans="1:8" ht="12.75">
      <c r="A7" s="4" t="s">
        <v>58</v>
      </c>
      <c r="B7" s="4"/>
      <c r="C7" s="4"/>
      <c r="D7" s="4"/>
      <c r="E7" s="4"/>
      <c r="F7" s="4"/>
      <c r="G7" s="4"/>
      <c r="H7" s="4"/>
    </row>
    <row r="8" ht="12.75">
      <c r="A8" s="4" t="s">
        <v>59</v>
      </c>
    </row>
    <row r="10" spans="1:4" ht="12.75">
      <c r="A10" s="55" t="s">
        <v>7</v>
      </c>
      <c r="B10" s="55"/>
      <c r="C10" s="56">
        <v>25</v>
      </c>
      <c r="D10" s="57"/>
    </row>
    <row r="11" spans="2:4" ht="12.75">
      <c r="B11" s="7" t="s">
        <v>6</v>
      </c>
      <c r="C11" s="56">
        <v>20</v>
      </c>
      <c r="D11" s="57"/>
    </row>
    <row r="12" spans="2:4" ht="12.75">
      <c r="B12" s="7" t="s">
        <v>8</v>
      </c>
      <c r="C12" s="56">
        <v>10</v>
      </c>
      <c r="D12" s="57"/>
    </row>
    <row r="13" spans="2:4" ht="12.75">
      <c r="B13" s="7" t="s">
        <v>30</v>
      </c>
      <c r="C13" s="56">
        <v>0</v>
      </c>
      <c r="D13" s="57"/>
    </row>
    <row r="14" spans="2:4" ht="12.75">
      <c r="B14" s="7" t="s">
        <v>31</v>
      </c>
      <c r="C14" s="56">
        <v>225</v>
      </c>
      <c r="D14" s="57"/>
    </row>
    <row r="15" spans="2:4" ht="12.75">
      <c r="B15" s="7" t="s">
        <v>56</v>
      </c>
      <c r="C15" s="56">
        <v>40</v>
      </c>
      <c r="D15" s="57"/>
    </row>
    <row r="16" spans="2:4" ht="15.75">
      <c r="B16" s="7" t="s">
        <v>62</v>
      </c>
      <c r="C16" s="56">
        <v>0.08</v>
      </c>
      <c r="D16" s="57"/>
    </row>
    <row r="18" spans="1:2" ht="12.75">
      <c r="A18" s="8" t="s">
        <v>44</v>
      </c>
      <c r="B18" s="7"/>
    </row>
    <row r="20" spans="1:15" ht="38.25">
      <c r="A20" s="3" t="s">
        <v>4</v>
      </c>
      <c r="B20" s="3" t="s">
        <v>17</v>
      </c>
      <c r="C20" s="3" t="s">
        <v>5</v>
      </c>
      <c r="D20" s="3" t="s">
        <v>13</v>
      </c>
      <c r="E20" s="3" t="s">
        <v>14</v>
      </c>
      <c r="F20" s="3" t="s">
        <v>18</v>
      </c>
      <c r="H20" s="3" t="s">
        <v>20</v>
      </c>
      <c r="I20" s="3" t="s">
        <v>28</v>
      </c>
      <c r="J20" s="3" t="s">
        <v>21</v>
      </c>
      <c r="K20" s="3" t="s">
        <v>22</v>
      </c>
      <c r="L20" s="3" t="s">
        <v>24</v>
      </c>
      <c r="M20" s="3" t="s">
        <v>54</v>
      </c>
      <c r="N20" s="3" t="s">
        <v>55</v>
      </c>
      <c r="O20" s="3" t="s">
        <v>57</v>
      </c>
    </row>
    <row r="21" spans="1:15" ht="12.75">
      <c r="A21" s="1" t="s">
        <v>3</v>
      </c>
      <c r="B21" s="1" t="s">
        <v>2</v>
      </c>
      <c r="C21" s="1" t="s">
        <v>0</v>
      </c>
      <c r="D21" s="1" t="s">
        <v>16</v>
      </c>
      <c r="E21" s="1" t="s">
        <v>29</v>
      </c>
      <c r="F21" s="1" t="s">
        <v>15</v>
      </c>
      <c r="H21" s="1" t="s">
        <v>1</v>
      </c>
      <c r="I21" s="1" t="s">
        <v>19</v>
      </c>
      <c r="J21" s="1" t="s">
        <v>25</v>
      </c>
      <c r="K21" s="1" t="s">
        <v>26</v>
      </c>
      <c r="L21" s="1" t="s">
        <v>27</v>
      </c>
      <c r="M21" s="1" t="s">
        <v>52</v>
      </c>
      <c r="N21" s="1" t="s">
        <v>53</v>
      </c>
      <c r="O21" s="10"/>
    </row>
    <row r="22" spans="1:15" ht="12.75">
      <c r="A22" s="1">
        <v>205</v>
      </c>
      <c r="B22" s="5">
        <v>20</v>
      </c>
      <c r="C22" s="5">
        <f>A22*8</f>
        <v>1640</v>
      </c>
      <c r="D22" s="6">
        <f>C22/B22</f>
        <v>82</v>
      </c>
      <c r="E22" s="6">
        <f>$C$10*2+C$11*8/B22+C$12+C$13*8/B22+C$14</f>
        <v>293</v>
      </c>
      <c r="F22" s="2">
        <f>B22*D22/(D22+E22)</f>
        <v>4.373333333333333</v>
      </c>
      <c r="H22" s="6">
        <f>D22+E22</f>
        <v>375</v>
      </c>
      <c r="I22" s="6">
        <f>100*(1-D22/H22)</f>
        <v>78.13333333333333</v>
      </c>
      <c r="J22" s="6">
        <f>$C$15</f>
        <v>40</v>
      </c>
      <c r="K22" s="6">
        <f>J22+H22</f>
        <v>415</v>
      </c>
      <c r="L22" s="6">
        <f aca="true" t="shared" si="0" ref="L22:N24">K22+$H22</f>
        <v>790</v>
      </c>
      <c r="M22" s="6">
        <f t="shared" si="0"/>
        <v>1165</v>
      </c>
      <c r="N22" s="6">
        <f t="shared" si="0"/>
        <v>1540</v>
      </c>
      <c r="O22" s="11">
        <f>$C$16^4/8/A22</f>
        <v>2.497560975609756E-08</v>
      </c>
    </row>
    <row r="23" spans="1:15" ht="13.5" thickBot="1">
      <c r="A23" s="1">
        <v>517</v>
      </c>
      <c r="B23" s="5">
        <v>20</v>
      </c>
      <c r="C23" s="5">
        <f>A23*8</f>
        <v>4136</v>
      </c>
      <c r="D23" s="6">
        <f>C23/B23</f>
        <v>206.8</v>
      </c>
      <c r="E23" s="6">
        <f>$C$10*2+C$11*8/B23+C$12+C$13*8/B23+C$14</f>
        <v>293</v>
      </c>
      <c r="F23" s="2">
        <f>B23*D23/(D23+E23)</f>
        <v>8.27531012404962</v>
      </c>
      <c r="H23" s="6">
        <f>D23+E23</f>
        <v>499.8</v>
      </c>
      <c r="I23" s="6">
        <f>100*(1-D23/H23)</f>
        <v>58.623449379751904</v>
      </c>
      <c r="J23" s="6">
        <f>$C$15</f>
        <v>40</v>
      </c>
      <c r="K23" s="6">
        <f>J23+H23</f>
        <v>539.8</v>
      </c>
      <c r="L23" s="6">
        <f t="shared" si="0"/>
        <v>1039.6</v>
      </c>
      <c r="M23" s="6">
        <f t="shared" si="0"/>
        <v>1539.3999999999999</v>
      </c>
      <c r="N23" s="6">
        <f t="shared" si="0"/>
        <v>2039.1999999999998</v>
      </c>
      <c r="O23" s="11">
        <f>$C$16^4/8/A23</f>
        <v>9.903288201160541E-09</v>
      </c>
    </row>
    <row r="24" spans="1:15" ht="13.5" thickBot="1">
      <c r="A24" s="16">
        <v>8017</v>
      </c>
      <c r="B24" s="17">
        <v>20</v>
      </c>
      <c r="C24" s="5">
        <f>A24*8</f>
        <v>64136</v>
      </c>
      <c r="D24" s="6">
        <f>C24/B24</f>
        <v>3206.8</v>
      </c>
      <c r="E24" s="6">
        <f>$C$10*2+C$11*8/B24+C$12+C$13*8/B24+C$14</f>
        <v>293</v>
      </c>
      <c r="F24" s="13">
        <f>B24*D24/(D24+E24)</f>
        <v>18.325618606777528</v>
      </c>
      <c r="H24" s="6">
        <f>D24+E24</f>
        <v>3499.8</v>
      </c>
      <c r="I24" s="6">
        <f>100*(1-D24/H24)</f>
        <v>8.371906966112352</v>
      </c>
      <c r="J24" s="6">
        <f>$C$15</f>
        <v>40</v>
      </c>
      <c r="K24" s="6">
        <f>J24+H24</f>
        <v>3539.8</v>
      </c>
      <c r="L24" s="6">
        <f t="shared" si="0"/>
        <v>7039.6</v>
      </c>
      <c r="M24" s="6">
        <f t="shared" si="0"/>
        <v>10539.400000000001</v>
      </c>
      <c r="N24" s="15">
        <f t="shared" si="0"/>
        <v>14039.2</v>
      </c>
      <c r="O24" s="14">
        <f>$C$16^4/8/A24</f>
        <v>6.386428838717725E-10</v>
      </c>
    </row>
    <row r="25" spans="1:11" ht="12.75">
      <c r="A25" s="1"/>
      <c r="B25" s="5"/>
      <c r="C25" s="5"/>
      <c r="D25" s="6"/>
      <c r="E25" s="6"/>
      <c r="F25" s="2"/>
      <c r="G25" s="6"/>
      <c r="H25" s="6"/>
      <c r="I25" s="6"/>
      <c r="J25" s="6"/>
      <c r="K25" s="6"/>
    </row>
    <row r="26" spans="1:11" ht="12.75">
      <c r="A26" s="8" t="s">
        <v>45</v>
      </c>
      <c r="B26" s="6"/>
      <c r="C26" s="5"/>
      <c r="D26" s="6"/>
      <c r="E26" s="6"/>
      <c r="F26" s="2"/>
      <c r="G26" s="6"/>
      <c r="H26" s="6"/>
      <c r="I26" s="6"/>
      <c r="J26" s="6"/>
      <c r="K26" s="6"/>
    </row>
    <row r="27" spans="1:11" ht="12.75">
      <c r="A27" s="1"/>
      <c r="B27" s="6"/>
      <c r="C27" s="5"/>
      <c r="D27" s="6"/>
      <c r="E27" s="6"/>
      <c r="F27" s="2"/>
      <c r="G27" s="6"/>
      <c r="H27" s="6"/>
      <c r="I27" s="6"/>
      <c r="J27" s="6"/>
      <c r="K27" s="6"/>
    </row>
    <row r="28" spans="1:15" ht="51">
      <c r="A28" s="3" t="s">
        <v>4</v>
      </c>
      <c r="B28" s="3" t="s">
        <v>17</v>
      </c>
      <c r="C28" s="3" t="s">
        <v>5</v>
      </c>
      <c r="D28" s="3" t="s">
        <v>36</v>
      </c>
      <c r="E28" s="3" t="s">
        <v>37</v>
      </c>
      <c r="F28" s="3" t="s">
        <v>34</v>
      </c>
      <c r="G28" s="3" t="s">
        <v>38</v>
      </c>
      <c r="H28" s="3" t="s">
        <v>39</v>
      </c>
      <c r="I28" s="3" t="s">
        <v>40</v>
      </c>
      <c r="J28" s="3" t="s">
        <v>43</v>
      </c>
      <c r="K28" s="3" t="s">
        <v>41</v>
      </c>
      <c r="L28" s="3" t="s">
        <v>42</v>
      </c>
      <c r="M28" s="3" t="s">
        <v>47</v>
      </c>
      <c r="N28" s="3" t="s">
        <v>46</v>
      </c>
      <c r="O28" s="3" t="s">
        <v>57</v>
      </c>
    </row>
    <row r="29" spans="1:15" ht="12.75">
      <c r="A29" s="1" t="s">
        <v>3</v>
      </c>
      <c r="B29" s="1" t="s">
        <v>2</v>
      </c>
      <c r="C29" s="1" t="s">
        <v>0</v>
      </c>
      <c r="D29" s="1" t="s">
        <v>16</v>
      </c>
      <c r="E29" s="1" t="s">
        <v>29</v>
      </c>
      <c r="F29" s="1" t="s">
        <v>15</v>
      </c>
      <c r="G29" s="1" t="s">
        <v>35</v>
      </c>
      <c r="H29" s="1" t="s">
        <v>1</v>
      </c>
      <c r="I29" s="1" t="s">
        <v>19</v>
      </c>
      <c r="J29" s="1" t="s">
        <v>25</v>
      </c>
      <c r="K29" s="1" t="s">
        <v>26</v>
      </c>
      <c r="L29" s="1" t="s">
        <v>27</v>
      </c>
      <c r="M29" s="1" t="s">
        <v>52</v>
      </c>
      <c r="N29" s="1" t="s">
        <v>53</v>
      </c>
      <c r="O29" s="10"/>
    </row>
    <row r="30" spans="1:15" ht="12.75">
      <c r="A30" s="1">
        <v>205</v>
      </c>
      <c r="B30" s="6">
        <v>20</v>
      </c>
      <c r="C30" s="5">
        <f>A30*8</f>
        <v>1640</v>
      </c>
      <c r="D30" s="6">
        <f>C30/B30</f>
        <v>82</v>
      </c>
      <c r="E30" s="6">
        <f>$C$10*5+C$11*8/B30*3+C$12*3+C$13*8/B30*3+$C$14*3</f>
        <v>854</v>
      </c>
      <c r="F30" s="2">
        <f>$B30*$D30*3/($D30*3+$E30)</f>
        <v>4.472727272727273</v>
      </c>
      <c r="G30" s="2">
        <f>$B30*$D30/($D30*3+$E30)</f>
        <v>1.490909090909091</v>
      </c>
      <c r="H30" s="6">
        <f>D30*3+E30</f>
        <v>1100</v>
      </c>
      <c r="I30" s="6">
        <f>100*(1-3*D30/H30)</f>
        <v>77.63636363636364</v>
      </c>
      <c r="J30" s="6">
        <f>$C$15</f>
        <v>40</v>
      </c>
      <c r="K30" s="6">
        <f>J30+H30/3</f>
        <v>406.6666666666667</v>
      </c>
      <c r="L30" s="6">
        <f>K30+$H30/3</f>
        <v>773.3333333333334</v>
      </c>
      <c r="M30" s="6">
        <f aca="true" t="shared" si="1" ref="M30:N32">L30+$H30/3</f>
        <v>1140</v>
      </c>
      <c r="N30" s="6">
        <f t="shared" si="1"/>
        <v>1506.6666666666667</v>
      </c>
      <c r="O30" s="11">
        <f>$C$16^4/8/A30</f>
        <v>2.497560975609756E-08</v>
      </c>
    </row>
    <row r="31" spans="1:15" ht="13.5" thickBot="1">
      <c r="A31" s="1">
        <v>517</v>
      </c>
      <c r="B31" s="6">
        <v>20</v>
      </c>
      <c r="C31" s="5">
        <f>A31*8</f>
        <v>4136</v>
      </c>
      <c r="D31" s="6">
        <f>C31/B31</f>
        <v>206.8</v>
      </c>
      <c r="E31" s="6">
        <f>$C$10*5+C$11*8/B31*3+C$12*3+C$13*8/B31*3+$C$14*3</f>
        <v>854</v>
      </c>
      <c r="F31" s="2">
        <f>$B31*$D31*3/($D31*3+$E31)</f>
        <v>8.415626695604992</v>
      </c>
      <c r="G31" s="2">
        <f>$B31*$D31/($D31*3+$E31)</f>
        <v>2.805208898534997</v>
      </c>
      <c r="H31" s="6">
        <f>D31*3+E31</f>
        <v>1474.4</v>
      </c>
      <c r="I31" s="6">
        <f>100*(1-3*D31/H31)</f>
        <v>57.92186652197504</v>
      </c>
      <c r="J31" s="6">
        <f>$C$15</f>
        <v>40</v>
      </c>
      <c r="K31" s="6">
        <f>J31+H31/3</f>
        <v>531.4666666666667</v>
      </c>
      <c r="L31" s="6">
        <f>K31+$H31/3</f>
        <v>1022.9333333333334</v>
      </c>
      <c r="M31" s="6">
        <f t="shared" si="1"/>
        <v>1514.4</v>
      </c>
      <c r="N31" s="6">
        <f t="shared" si="1"/>
        <v>2005.8666666666668</v>
      </c>
      <c r="O31" s="11">
        <f>$C$16^4/8/A31</f>
        <v>9.903288201160541E-09</v>
      </c>
    </row>
    <row r="32" spans="1:15" ht="13.5" thickBot="1">
      <c r="A32" s="16">
        <v>8017</v>
      </c>
      <c r="B32" s="15">
        <v>20</v>
      </c>
      <c r="C32" s="5">
        <f>A32*8</f>
        <v>64136</v>
      </c>
      <c r="D32" s="6">
        <f>C32/B32</f>
        <v>3206.8</v>
      </c>
      <c r="E32" s="6">
        <f>$C$10*5+C$11*8/B32*3+C$12*3+C$13*8/B32*3+$C$14*3</f>
        <v>854</v>
      </c>
      <c r="F32" s="13">
        <f>$B32*$D32*3/($D32*3+$E32)</f>
        <v>18.36935767203849</v>
      </c>
      <c r="G32" s="2">
        <f>$B32*$D32/($D32*3+$E32)</f>
        <v>6.1231192240128305</v>
      </c>
      <c r="H32" s="6">
        <f>D32*3+E32</f>
        <v>10474.400000000001</v>
      </c>
      <c r="I32" s="6">
        <f>100*(1-3*D32/H32)</f>
        <v>8.153211639807534</v>
      </c>
      <c r="J32" s="6">
        <f>$C$15</f>
        <v>40</v>
      </c>
      <c r="K32" s="6">
        <f>J32+H32/3</f>
        <v>3531.466666666667</v>
      </c>
      <c r="L32" s="6">
        <f>K32+$H32/3</f>
        <v>7022.933333333334</v>
      </c>
      <c r="M32" s="6">
        <f t="shared" si="1"/>
        <v>10514.400000000001</v>
      </c>
      <c r="N32" s="15">
        <f t="shared" si="1"/>
        <v>14005.866666666669</v>
      </c>
      <c r="O32" s="14">
        <f>$C$16^4/8/A32</f>
        <v>6.386428838717725E-10</v>
      </c>
    </row>
    <row r="33" spans="1:11" ht="12.75">
      <c r="A33" s="1"/>
      <c r="B33" s="5"/>
      <c r="C33" s="5"/>
      <c r="D33" s="6"/>
      <c r="E33" s="6"/>
      <c r="F33" s="2"/>
      <c r="G33" s="6"/>
      <c r="H33" s="6"/>
      <c r="I33" s="6"/>
      <c r="J33" s="6"/>
      <c r="K33" s="6"/>
    </row>
    <row r="34" spans="1:11" ht="12.75">
      <c r="A34" s="1"/>
      <c r="B34" s="5"/>
      <c r="C34" s="5"/>
      <c r="D34" s="6"/>
      <c r="E34" s="6"/>
      <c r="F34" s="2"/>
      <c r="G34" s="6"/>
      <c r="H34" s="6"/>
      <c r="I34" s="6"/>
      <c r="J34" s="6"/>
      <c r="K34" s="6"/>
    </row>
  </sheetData>
  <mergeCells count="11">
    <mergeCell ref="A3:G3"/>
    <mergeCell ref="A4:E4"/>
    <mergeCell ref="A5:G5"/>
    <mergeCell ref="A10:B10"/>
    <mergeCell ref="C10:D10"/>
    <mergeCell ref="C15:D15"/>
    <mergeCell ref="C16:D16"/>
    <mergeCell ref="C11:D11"/>
    <mergeCell ref="C12:D12"/>
    <mergeCell ref="C13:D13"/>
    <mergeCell ref="C14:D14"/>
  </mergeCells>
  <printOptions/>
  <pageMargins left="0.75" right="0.75" top="1" bottom="1" header="0.5" footer="0.5"/>
  <pageSetup fitToHeight="1" fitToWidth="1" horizontalDpi="600" verticalDpi="600" orientation="landscape" scale="81" r:id="rId1"/>
</worksheet>
</file>

<file path=xl/worksheets/sheet6.xml><?xml version="1.0" encoding="utf-8"?>
<worksheet xmlns="http://schemas.openxmlformats.org/spreadsheetml/2006/main" xmlns:r="http://schemas.openxmlformats.org/officeDocument/2006/relationships">
  <sheetPr>
    <pageSetUpPr fitToPage="1"/>
  </sheetPr>
  <dimension ref="A1:O36"/>
  <sheetViews>
    <sheetView zoomScale="75" zoomScaleNormal="75" workbookViewId="0" topLeftCell="A1">
      <selection activeCell="B1" sqref="B1"/>
    </sheetView>
  </sheetViews>
  <sheetFormatPr defaultColWidth="9.140625" defaultRowHeight="12.75"/>
  <cols>
    <col min="1" max="1" width="18.8515625" style="0" customWidth="1"/>
    <col min="6" max="6" width="10.421875" style="0" customWidth="1"/>
    <col min="7" max="7" width="10.28125" style="0" customWidth="1"/>
  </cols>
  <sheetData>
    <row r="1" ht="15">
      <c r="B1" s="43" t="s">
        <v>106</v>
      </c>
    </row>
    <row r="3" spans="1:8" ht="12.75">
      <c r="A3" s="54" t="s">
        <v>10</v>
      </c>
      <c r="B3" s="54"/>
      <c r="C3" s="54"/>
      <c r="D3" s="54"/>
      <c r="E3" s="54"/>
      <c r="F3" s="54"/>
      <c r="G3" s="54"/>
      <c r="H3" s="4"/>
    </row>
    <row r="4" spans="1:5" ht="12.75">
      <c r="A4" s="54" t="s">
        <v>11</v>
      </c>
      <c r="B4" s="54"/>
      <c r="C4" s="54"/>
      <c r="D4" s="54"/>
      <c r="E4" s="54"/>
    </row>
    <row r="5" spans="1:8" ht="12.75">
      <c r="A5" s="54" t="s">
        <v>12</v>
      </c>
      <c r="B5" s="54"/>
      <c r="C5" s="54"/>
      <c r="D5" s="54"/>
      <c r="E5" s="54"/>
      <c r="F5" s="54"/>
      <c r="G5" s="54"/>
      <c r="H5" s="4"/>
    </row>
    <row r="6" spans="1:8" ht="12.75">
      <c r="A6" s="4" t="s">
        <v>23</v>
      </c>
      <c r="B6" s="4"/>
      <c r="C6" s="4"/>
      <c r="D6" s="4"/>
      <c r="E6" s="4"/>
      <c r="F6" s="4"/>
      <c r="G6" s="4"/>
      <c r="H6" s="4"/>
    </row>
    <row r="7" spans="1:8" ht="12.75">
      <c r="A7" s="4" t="s">
        <v>58</v>
      </c>
      <c r="B7" s="4"/>
      <c r="C7" s="4"/>
      <c r="D7" s="4"/>
      <c r="E7" s="4"/>
      <c r="F7" s="4"/>
      <c r="G7" s="4"/>
      <c r="H7" s="4"/>
    </row>
    <row r="8" ht="12.75">
      <c r="A8" s="4" t="s">
        <v>59</v>
      </c>
    </row>
    <row r="10" spans="2:3" ht="12.75">
      <c r="B10" s="7" t="s">
        <v>7</v>
      </c>
      <c r="C10" s="1">
        <v>96</v>
      </c>
    </row>
    <row r="11" spans="2:3" ht="12.75">
      <c r="B11" s="7" t="s">
        <v>6</v>
      </c>
      <c r="C11" s="1">
        <v>34</v>
      </c>
    </row>
    <row r="12" spans="2:3" ht="12.75">
      <c r="B12" s="7" t="s">
        <v>8</v>
      </c>
      <c r="C12" s="1">
        <v>10</v>
      </c>
    </row>
    <row r="13" spans="2:3" ht="12.75">
      <c r="B13" s="7" t="s">
        <v>30</v>
      </c>
      <c r="C13" s="1">
        <v>19</v>
      </c>
    </row>
    <row r="14" spans="2:3" ht="12.75">
      <c r="B14" s="7" t="s">
        <v>31</v>
      </c>
      <c r="C14" s="1">
        <v>30</v>
      </c>
    </row>
    <row r="15" spans="2:5" ht="12.75">
      <c r="B15" s="7" t="s">
        <v>56</v>
      </c>
      <c r="C15" s="1">
        <v>40</v>
      </c>
      <c r="D15" s="56"/>
      <c r="E15" s="57"/>
    </row>
    <row r="16" spans="2:5" ht="15.75">
      <c r="B16" s="7" t="s">
        <v>63</v>
      </c>
      <c r="C16" s="1">
        <v>0.035</v>
      </c>
      <c r="D16" s="56"/>
      <c r="E16" s="57"/>
    </row>
    <row r="18" spans="1:2" ht="12.75">
      <c r="A18" s="8" t="s">
        <v>44</v>
      </c>
      <c r="B18" s="7"/>
    </row>
    <row r="20" spans="1:15" ht="38.25">
      <c r="A20" s="3" t="s">
        <v>4</v>
      </c>
      <c r="B20" s="3" t="s">
        <v>17</v>
      </c>
      <c r="C20" s="3" t="s">
        <v>5</v>
      </c>
      <c r="D20" s="3" t="s">
        <v>13</v>
      </c>
      <c r="E20" s="3" t="s">
        <v>14</v>
      </c>
      <c r="F20" s="3" t="s">
        <v>18</v>
      </c>
      <c r="H20" s="3" t="s">
        <v>20</v>
      </c>
      <c r="I20" s="3" t="s">
        <v>28</v>
      </c>
      <c r="J20" s="3" t="s">
        <v>21</v>
      </c>
      <c r="K20" s="3" t="s">
        <v>22</v>
      </c>
      <c r="L20" s="3" t="s">
        <v>24</v>
      </c>
      <c r="M20" s="3" t="s">
        <v>54</v>
      </c>
      <c r="N20" s="3" t="s">
        <v>55</v>
      </c>
      <c r="O20" s="3" t="s">
        <v>57</v>
      </c>
    </row>
    <row r="21" spans="1:15" ht="12.75">
      <c r="A21" s="1" t="s">
        <v>3</v>
      </c>
      <c r="B21" s="1" t="s">
        <v>2</v>
      </c>
      <c r="C21" s="1" t="s">
        <v>0</v>
      </c>
      <c r="D21" s="1" t="s">
        <v>16</v>
      </c>
      <c r="E21" s="1" t="s">
        <v>29</v>
      </c>
      <c r="F21" s="1" t="s">
        <v>15</v>
      </c>
      <c r="H21" s="1" t="s">
        <v>1</v>
      </c>
      <c r="I21" s="1" t="s">
        <v>19</v>
      </c>
      <c r="J21" s="1" t="s">
        <v>25</v>
      </c>
      <c r="K21" s="1" t="s">
        <v>26</v>
      </c>
      <c r="L21" s="1" t="s">
        <v>27</v>
      </c>
      <c r="M21" s="1" t="s">
        <v>52</v>
      </c>
      <c r="N21" s="1" t="s">
        <v>53</v>
      </c>
      <c r="O21" s="10"/>
    </row>
    <row r="22" spans="1:15" ht="13.5" thickBot="1">
      <c r="A22" s="1">
        <v>512</v>
      </c>
      <c r="B22" s="6">
        <f>22*125/127</f>
        <v>21.653543307086615</v>
      </c>
      <c r="C22" s="5">
        <f>A22*8</f>
        <v>4096</v>
      </c>
      <c r="D22" s="6">
        <f>C22/B22*1.1</f>
        <v>208.0768</v>
      </c>
      <c r="E22" s="6">
        <f>$C$10*2+C$11*8/B22/1.1+C$12+C$13*8/B22/1.1+C$14</f>
        <v>249.80099173553717</v>
      </c>
      <c r="F22" s="2">
        <f>B22*D22/(D22+E22)</f>
        <v>9.84018024312121</v>
      </c>
      <c r="H22" s="6">
        <f>D22+E22</f>
        <v>457.87779173553713</v>
      </c>
      <c r="I22" s="6">
        <f>100*(1-D22/H22)</f>
        <v>54.556258513585696</v>
      </c>
      <c r="J22" s="6">
        <f>$C$15</f>
        <v>40</v>
      </c>
      <c r="K22" s="6">
        <f>J22+H22</f>
        <v>497.87779173553713</v>
      </c>
      <c r="L22" s="6">
        <f aca="true" t="shared" si="0" ref="L22:N23">K22+$H22</f>
        <v>955.7555834710743</v>
      </c>
      <c r="M22" s="6">
        <f t="shared" si="0"/>
        <v>1413.6333752066114</v>
      </c>
      <c r="N22" s="6">
        <f t="shared" si="0"/>
        <v>1871.5111669421485</v>
      </c>
      <c r="O22" s="11">
        <f>$C$16^4/8/A22</f>
        <v>3.663635253906251E-10</v>
      </c>
    </row>
    <row r="23" spans="1:15" ht="13.5" thickBot="1">
      <c r="A23" s="16">
        <v>8100</v>
      </c>
      <c r="B23" s="15">
        <f>22*125/127</f>
        <v>21.653543307086615</v>
      </c>
      <c r="C23" s="5">
        <f>A23*8</f>
        <v>64800</v>
      </c>
      <c r="D23" s="6">
        <f>C23/B23*1.1</f>
        <v>3291.84</v>
      </c>
      <c r="E23" s="6">
        <f>$C$10*2+C$11*8/B23/1.1+C$12+C$13*8/B23/1.1+C$14</f>
        <v>249.80099173553717</v>
      </c>
      <c r="F23" s="13">
        <f>B23*D23/(D23+E23)</f>
        <v>20.126263550239212</v>
      </c>
      <c r="H23" s="6">
        <f>D23+E23</f>
        <v>3541.640991735537</v>
      </c>
      <c r="I23" s="6">
        <f>100*(1-D23/H23)</f>
        <v>7.053255604349817</v>
      </c>
      <c r="J23" s="6">
        <f>$C$15</f>
        <v>40</v>
      </c>
      <c r="K23" s="6">
        <f>J23+H23</f>
        <v>3581.640991735537</v>
      </c>
      <c r="L23" s="6">
        <f t="shared" si="0"/>
        <v>7123.281983471074</v>
      </c>
      <c r="M23" s="6">
        <f t="shared" si="0"/>
        <v>10664.922975206611</v>
      </c>
      <c r="N23" s="15">
        <f t="shared" si="0"/>
        <v>14206.563966942149</v>
      </c>
      <c r="O23" s="14">
        <f>$C$16^4/8/A23</f>
        <v>2.315779320987655E-11</v>
      </c>
    </row>
    <row r="24" spans="1:15" ht="12.75">
      <c r="A24" s="1"/>
      <c r="B24" s="6"/>
      <c r="C24" s="5"/>
      <c r="D24" s="6"/>
      <c r="E24" s="6"/>
      <c r="F24" s="2"/>
      <c r="G24" s="6"/>
      <c r="H24" s="6"/>
      <c r="I24" s="6"/>
      <c r="J24" s="6"/>
      <c r="K24" s="6"/>
      <c r="L24" s="6"/>
      <c r="M24" s="6"/>
      <c r="O24" s="11"/>
    </row>
    <row r="25" spans="1:11" ht="12.75">
      <c r="A25" s="8" t="s">
        <v>45</v>
      </c>
      <c r="B25" s="6"/>
      <c r="C25" s="5"/>
      <c r="D25" s="6"/>
      <c r="E25" s="6"/>
      <c r="F25" s="2"/>
      <c r="G25" s="6"/>
      <c r="H25" s="6"/>
      <c r="I25" s="6"/>
      <c r="J25" s="6"/>
      <c r="K25" s="6"/>
    </row>
    <row r="26" spans="1:11" ht="12.75">
      <c r="A26" s="1"/>
      <c r="B26" s="6"/>
      <c r="C26" s="5"/>
      <c r="D26" s="6"/>
      <c r="E26" s="6"/>
      <c r="F26" s="2"/>
      <c r="G26" s="6"/>
      <c r="H26" s="6"/>
      <c r="I26" s="6"/>
      <c r="J26" s="6"/>
      <c r="K26" s="6"/>
    </row>
    <row r="27" spans="1:15" ht="51">
      <c r="A27" s="3" t="s">
        <v>4</v>
      </c>
      <c r="B27" s="3" t="s">
        <v>17</v>
      </c>
      <c r="C27" s="3" t="s">
        <v>5</v>
      </c>
      <c r="D27" s="3" t="s">
        <v>36</v>
      </c>
      <c r="E27" s="3" t="s">
        <v>37</v>
      </c>
      <c r="F27" s="3" t="s">
        <v>34</v>
      </c>
      <c r="G27" s="3" t="s">
        <v>38</v>
      </c>
      <c r="H27" s="3" t="s">
        <v>39</v>
      </c>
      <c r="I27" s="3" t="s">
        <v>40</v>
      </c>
      <c r="J27" s="3" t="s">
        <v>43</v>
      </c>
      <c r="K27" s="3" t="s">
        <v>41</v>
      </c>
      <c r="L27" s="3" t="s">
        <v>42</v>
      </c>
      <c r="M27" s="3" t="s">
        <v>47</v>
      </c>
      <c r="N27" s="3" t="s">
        <v>46</v>
      </c>
      <c r="O27" s="3" t="s">
        <v>57</v>
      </c>
    </row>
    <row r="28" spans="1:15" ht="12.75">
      <c r="A28" s="1" t="s">
        <v>3</v>
      </c>
      <c r="B28" s="1" t="s">
        <v>2</v>
      </c>
      <c r="C28" s="1" t="s">
        <v>0</v>
      </c>
      <c r="D28" s="1" t="s">
        <v>16</v>
      </c>
      <c r="E28" s="1" t="s">
        <v>29</v>
      </c>
      <c r="F28" s="1" t="s">
        <v>15</v>
      </c>
      <c r="G28" s="1" t="s">
        <v>35</v>
      </c>
      <c r="H28" s="1" t="s">
        <v>1</v>
      </c>
      <c r="I28" s="1" t="s">
        <v>19</v>
      </c>
      <c r="J28" s="1" t="s">
        <v>25</v>
      </c>
      <c r="K28" s="1" t="s">
        <v>26</v>
      </c>
      <c r="L28" s="1" t="s">
        <v>27</v>
      </c>
      <c r="M28" s="1" t="s">
        <v>52</v>
      </c>
      <c r="N28" s="1" t="s">
        <v>53</v>
      </c>
      <c r="O28" s="10"/>
    </row>
    <row r="29" spans="1:15" ht="13.5" thickBot="1">
      <c r="A29" s="1">
        <v>512</v>
      </c>
      <c r="B29" s="6">
        <v>21.7</v>
      </c>
      <c r="C29" s="5">
        <f>A29*8</f>
        <v>4096</v>
      </c>
      <c r="D29" s="6">
        <f>C29/B29</f>
        <v>188.7557603686636</v>
      </c>
      <c r="E29" s="6">
        <f>$C$10*5+C$11*8/B29*3+C$12*3+C$13*8/B29*3+$C$14*2</f>
        <v>628.6175115207373</v>
      </c>
      <c r="F29" s="2">
        <f>$B29*$D29*3/($D29*3+$E29)</f>
        <v>10.283836630799492</v>
      </c>
      <c r="G29" s="2">
        <f>$B29*$D29/($D29*3+$E29)</f>
        <v>3.4279455435998303</v>
      </c>
      <c r="H29" s="6">
        <f>D29*3+E29</f>
        <v>1194.884792626728</v>
      </c>
      <c r="I29" s="6">
        <f>100*(1-3*D29/H29)</f>
        <v>52.60904778433414</v>
      </c>
      <c r="J29" s="6">
        <f>$C$15</f>
        <v>40</v>
      </c>
      <c r="K29" s="6">
        <f>J29+H29/3</f>
        <v>438.29493087557603</v>
      </c>
      <c r="L29" s="6">
        <f>K29+$H29/3</f>
        <v>836.5898617511521</v>
      </c>
      <c r="M29" s="6">
        <f>L29+$H29/3</f>
        <v>1234.884792626728</v>
      </c>
      <c r="N29" s="6">
        <f>M29+$H29/3</f>
        <v>1633.1797235023041</v>
      </c>
      <c r="O29" s="11">
        <f>$C$16^4/8/A29</f>
        <v>3.663635253906251E-10</v>
      </c>
    </row>
    <row r="30" spans="1:15" ht="13.5" thickBot="1">
      <c r="A30" s="16">
        <v>8100</v>
      </c>
      <c r="B30" s="15">
        <v>21.7</v>
      </c>
      <c r="C30" s="5">
        <f>A30*8</f>
        <v>64800</v>
      </c>
      <c r="D30" s="6">
        <f>C30/B30</f>
        <v>2986.1751152073734</v>
      </c>
      <c r="E30" s="6">
        <f>$C$10*5+C$11*8/B30*3+C$12*3+C$13*8/B30*3+$C$14*2</f>
        <v>628.6175115207373</v>
      </c>
      <c r="F30" s="13">
        <f>$B30*$D30*3/($D30*3+$E30)</f>
        <v>20.277156906571303</v>
      </c>
      <c r="G30" s="2">
        <f>$B30*$D30/($D30*3+$E30)</f>
        <v>6.759052302190434</v>
      </c>
      <c r="H30" s="6">
        <f>D30*3+E30</f>
        <v>9587.142857142857</v>
      </c>
      <c r="I30" s="6">
        <f>100*(1-3*D30/H30)</f>
        <v>6.556880614878791</v>
      </c>
      <c r="J30" s="6">
        <f>$C$15</f>
        <v>40</v>
      </c>
      <c r="K30" s="6">
        <f>J30+H30/3</f>
        <v>3235.714285714286</v>
      </c>
      <c r="L30" s="6">
        <f>K30+$H30/3</f>
        <v>6431.428571428572</v>
      </c>
      <c r="M30" s="6">
        <f>L30+$H30/3</f>
        <v>9627.142857142857</v>
      </c>
      <c r="N30" s="15">
        <f>M30+$H30/3</f>
        <v>12822.857142857143</v>
      </c>
      <c r="O30" s="14">
        <f>$C$16^4/8/A30</f>
        <v>2.315779320987655E-11</v>
      </c>
    </row>
    <row r="31" spans="1:15" ht="12.75">
      <c r="A31" s="1"/>
      <c r="B31" s="6"/>
      <c r="C31" s="5"/>
      <c r="D31" s="6"/>
      <c r="E31" s="6"/>
      <c r="F31" s="2"/>
      <c r="G31" s="2"/>
      <c r="H31" s="6"/>
      <c r="I31" s="6"/>
      <c r="J31" s="6"/>
      <c r="K31" s="6"/>
      <c r="L31" s="6"/>
      <c r="M31" s="6"/>
      <c r="N31" s="6"/>
      <c r="O31" s="11"/>
    </row>
    <row r="32" spans="1:11" ht="12.75">
      <c r="A32" s="1"/>
      <c r="B32" s="5"/>
      <c r="C32" s="5"/>
      <c r="D32" s="6"/>
      <c r="E32" s="6"/>
      <c r="F32" s="2"/>
      <c r="G32" s="6"/>
      <c r="H32" s="6"/>
      <c r="I32" s="6"/>
      <c r="J32" s="6"/>
      <c r="K32" s="6"/>
    </row>
    <row r="33" spans="1:11" ht="12.75">
      <c r="A33" s="1"/>
      <c r="B33" s="5"/>
      <c r="C33" s="5"/>
      <c r="D33" s="6"/>
      <c r="E33" s="6"/>
      <c r="F33" s="2"/>
      <c r="G33" s="6"/>
      <c r="H33" s="6"/>
      <c r="I33" s="6"/>
      <c r="J33" s="6"/>
      <c r="K33" s="6"/>
    </row>
    <row r="34" spans="1:11" ht="12.75">
      <c r="A34" s="1"/>
      <c r="B34" s="5"/>
      <c r="C34" s="5"/>
      <c r="D34" s="6"/>
      <c r="E34" s="6"/>
      <c r="F34" s="2"/>
      <c r="G34" s="6"/>
      <c r="H34" s="6"/>
      <c r="I34" s="6"/>
      <c r="J34" s="6"/>
      <c r="K34" s="6"/>
    </row>
    <row r="35" spans="1:11" ht="12.75">
      <c r="A35" s="1"/>
      <c r="B35" s="5"/>
      <c r="C35" s="5"/>
      <c r="D35" s="6"/>
      <c r="E35" s="6"/>
      <c r="F35" s="2"/>
      <c r="G35" s="6"/>
      <c r="H35" s="6"/>
      <c r="I35" s="6"/>
      <c r="J35" s="6"/>
      <c r="K35" s="6"/>
    </row>
    <row r="36" spans="1:11" ht="12.75">
      <c r="A36" s="1"/>
      <c r="B36" s="5"/>
      <c r="C36" s="5"/>
      <c r="D36" s="6"/>
      <c r="E36" s="6"/>
      <c r="F36" s="2"/>
      <c r="G36" s="6"/>
      <c r="H36" s="6"/>
      <c r="I36" s="6"/>
      <c r="J36" s="6"/>
      <c r="K36" s="6"/>
    </row>
  </sheetData>
  <mergeCells count="5">
    <mergeCell ref="D15:E15"/>
    <mergeCell ref="D16:E16"/>
    <mergeCell ref="A3:G3"/>
    <mergeCell ref="A4:E4"/>
    <mergeCell ref="A5:G5"/>
  </mergeCells>
  <printOptions/>
  <pageMargins left="0.75" right="0.75" top="1" bottom="1" header="0.5" footer="0.5"/>
  <pageSetup fitToHeight="1" fitToWidth="1" horizontalDpi="600" verticalDpi="600" orientation="landscape" scale="82" r:id="rId1"/>
</worksheet>
</file>

<file path=xl/worksheets/sheet7.xml><?xml version="1.0" encoding="utf-8"?>
<worksheet xmlns="http://schemas.openxmlformats.org/spreadsheetml/2006/main" xmlns:r="http://schemas.openxmlformats.org/officeDocument/2006/relationships">
  <sheetPr>
    <pageSetUpPr fitToPage="1"/>
  </sheetPr>
  <dimension ref="A1:P36"/>
  <sheetViews>
    <sheetView zoomScale="75" zoomScaleNormal="75" workbookViewId="0" topLeftCell="A1">
      <selection activeCell="A1" sqref="A1:P31"/>
    </sheetView>
  </sheetViews>
  <sheetFormatPr defaultColWidth="9.140625" defaultRowHeight="12.75"/>
  <cols>
    <col min="1" max="1" width="18.8515625" style="0" customWidth="1"/>
    <col min="6" max="6" width="10.421875" style="0" customWidth="1"/>
    <col min="7" max="7" width="10.28125" style="0" customWidth="1"/>
  </cols>
  <sheetData>
    <row r="1" ht="15">
      <c r="B1" s="43" t="s">
        <v>107</v>
      </c>
    </row>
    <row r="3" spans="1:8" ht="12.75">
      <c r="A3" s="54" t="s">
        <v>10</v>
      </c>
      <c r="B3" s="54"/>
      <c r="C3" s="54"/>
      <c r="D3" s="54"/>
      <c r="E3" s="54"/>
      <c r="F3" s="54"/>
      <c r="G3" s="54"/>
      <c r="H3" s="4"/>
    </row>
    <row r="4" spans="1:5" ht="12.75">
      <c r="A4" s="54" t="s">
        <v>11</v>
      </c>
      <c r="B4" s="54"/>
      <c r="C4" s="54"/>
      <c r="D4" s="54"/>
      <c r="E4" s="54"/>
    </row>
    <row r="5" spans="1:8" ht="12.75">
      <c r="A5" s="54" t="s">
        <v>12</v>
      </c>
      <c r="B5" s="54"/>
      <c r="C5" s="54"/>
      <c r="D5" s="54"/>
      <c r="E5" s="54"/>
      <c r="F5" s="54"/>
      <c r="G5" s="54"/>
      <c r="H5" s="4"/>
    </row>
    <row r="6" spans="1:8" ht="12.75">
      <c r="A6" s="4" t="s">
        <v>23</v>
      </c>
      <c r="B6" s="4"/>
      <c r="C6" s="4"/>
      <c r="D6" s="4"/>
      <c r="E6" s="4"/>
      <c r="F6" s="4"/>
      <c r="G6" s="4"/>
      <c r="H6" s="4"/>
    </row>
    <row r="7" spans="1:8" ht="12.75">
      <c r="A7" s="4" t="s">
        <v>58</v>
      </c>
      <c r="B7" s="4"/>
      <c r="C7" s="4"/>
      <c r="D7" s="4"/>
      <c r="E7" s="4"/>
      <c r="F7" s="4"/>
      <c r="G7" s="4"/>
      <c r="H7" s="4"/>
    </row>
    <row r="8" ht="12.75">
      <c r="A8" s="4" t="s">
        <v>59</v>
      </c>
    </row>
    <row r="10" spans="2:3" ht="12.75">
      <c r="B10" s="7" t="s">
        <v>7</v>
      </c>
      <c r="C10" s="1">
        <v>96</v>
      </c>
    </row>
    <row r="11" spans="2:3" ht="12.75">
      <c r="B11" s="7" t="s">
        <v>6</v>
      </c>
      <c r="C11" s="1">
        <v>34</v>
      </c>
    </row>
    <row r="12" spans="2:3" ht="12.75">
      <c r="B12" s="7" t="s">
        <v>8</v>
      </c>
      <c r="C12" s="1">
        <v>10</v>
      </c>
    </row>
    <row r="13" spans="2:3" ht="12.75">
      <c r="B13" s="7" t="s">
        <v>30</v>
      </c>
      <c r="C13" s="1">
        <v>19</v>
      </c>
    </row>
    <row r="14" spans="2:3" ht="12.75">
      <c r="B14" s="7" t="s">
        <v>31</v>
      </c>
      <c r="C14" s="1">
        <v>30</v>
      </c>
    </row>
    <row r="15" spans="2:5" ht="12.75">
      <c r="B15" s="7" t="s">
        <v>56</v>
      </c>
      <c r="C15" s="1">
        <v>10</v>
      </c>
      <c r="D15" s="56"/>
      <c r="E15" s="57"/>
    </row>
    <row r="16" spans="2:5" ht="15.75">
      <c r="B16" s="7" t="s">
        <v>61</v>
      </c>
      <c r="C16" s="1">
        <v>0.08</v>
      </c>
      <c r="D16" s="56"/>
      <c r="E16" s="57"/>
    </row>
    <row r="18" spans="1:2" ht="12.75">
      <c r="A18" s="8" t="s">
        <v>44</v>
      </c>
      <c r="B18" s="7"/>
    </row>
    <row r="20" spans="1:16" ht="38.25">
      <c r="A20" s="3" t="s">
        <v>4</v>
      </c>
      <c r="B20" s="3" t="s">
        <v>17</v>
      </c>
      <c r="C20" s="3" t="s">
        <v>5</v>
      </c>
      <c r="D20" s="3" t="s">
        <v>13</v>
      </c>
      <c r="E20" s="3" t="s">
        <v>14</v>
      </c>
      <c r="F20" s="3" t="s">
        <v>18</v>
      </c>
      <c r="H20" s="3" t="s">
        <v>20</v>
      </c>
      <c r="I20" s="3" t="s">
        <v>28</v>
      </c>
      <c r="J20" s="3" t="s">
        <v>21</v>
      </c>
      <c r="K20" s="3" t="s">
        <v>22</v>
      </c>
      <c r="L20" s="3" t="s">
        <v>24</v>
      </c>
      <c r="M20" s="3" t="s">
        <v>54</v>
      </c>
      <c r="N20" s="3" t="s">
        <v>55</v>
      </c>
      <c r="O20" s="3" t="s">
        <v>74</v>
      </c>
      <c r="P20" s="3" t="s">
        <v>73</v>
      </c>
    </row>
    <row r="21" spans="1:16" ht="12.75">
      <c r="A21" s="1"/>
      <c r="B21" s="1"/>
      <c r="C21" s="1"/>
      <c r="D21" s="1"/>
      <c r="E21" s="1"/>
      <c r="F21" s="1"/>
      <c r="H21" s="1"/>
      <c r="I21" s="1"/>
      <c r="J21" s="1"/>
      <c r="K21" s="1"/>
      <c r="L21" s="1"/>
      <c r="M21" s="1"/>
      <c r="N21" s="1"/>
      <c r="O21" s="1"/>
      <c r="P21" s="10"/>
    </row>
    <row r="22" spans="1:16" ht="13.5" thickBot="1">
      <c r="A22" s="1">
        <v>512</v>
      </c>
      <c r="B22" s="6">
        <v>22</v>
      </c>
      <c r="C22" s="5">
        <f>A22*8</f>
        <v>4096</v>
      </c>
      <c r="D22" s="6">
        <f>C22/B22</f>
        <v>186.1818181818182</v>
      </c>
      <c r="E22" s="6">
        <f>$C$10*2+C$11*8/B22+C$12+C$13*8/B22+C$14</f>
        <v>251.27272727272728</v>
      </c>
      <c r="F22" s="2">
        <f>B22*D22/(D22+E22)</f>
        <v>9.36325852036575</v>
      </c>
      <c r="H22" s="6">
        <f>D22+E22</f>
        <v>437.4545454545455</v>
      </c>
      <c r="I22" s="6">
        <f>100*(1-D22/H22)</f>
        <v>57.439733998337495</v>
      </c>
      <c r="J22" s="6">
        <f>$C$15</f>
        <v>10</v>
      </c>
      <c r="K22" s="6">
        <f>J22+H22</f>
        <v>447.4545454545455</v>
      </c>
      <c r="L22" s="6">
        <f aca="true" t="shared" si="0" ref="L22:N23">K22+$H22</f>
        <v>884.909090909091</v>
      </c>
      <c r="M22" s="6">
        <f t="shared" si="0"/>
        <v>1322.3636363636365</v>
      </c>
      <c r="N22" s="6">
        <f t="shared" si="0"/>
        <v>1759.818181818182</v>
      </c>
      <c r="O22" s="6">
        <f>N22+$H22</f>
        <v>2197.2727272727275</v>
      </c>
      <c r="P22" s="11">
        <f>$C$16^5/8/A22</f>
        <v>8E-10</v>
      </c>
    </row>
    <row r="23" spans="1:16" ht="13.5" thickBot="1">
      <c r="A23" s="16">
        <v>7000</v>
      </c>
      <c r="B23" s="15">
        <v>22</v>
      </c>
      <c r="C23" s="5">
        <f>A23*8</f>
        <v>56000</v>
      </c>
      <c r="D23" s="6">
        <f>C23/B23</f>
        <v>2545.4545454545455</v>
      </c>
      <c r="E23" s="6">
        <f>$C$10*2+C$11*8/B23+C$12+C$13*8/B23+C$14</f>
        <v>251.27272727272728</v>
      </c>
      <c r="F23" s="13">
        <f>B23*D23/(D23+E23)</f>
        <v>20.023403978676374</v>
      </c>
      <c r="H23" s="6">
        <f>D23+E23</f>
        <v>2796.727272727273</v>
      </c>
      <c r="I23" s="6">
        <f>100*(1-D23/H23)</f>
        <v>8.98452736965285</v>
      </c>
      <c r="J23" s="6">
        <f>$C$15</f>
        <v>10</v>
      </c>
      <c r="K23" s="6">
        <f>J23+H23</f>
        <v>2806.727272727273</v>
      </c>
      <c r="L23" s="6">
        <f t="shared" si="0"/>
        <v>5603.454545454546</v>
      </c>
      <c r="M23" s="6">
        <f t="shared" si="0"/>
        <v>8400.18181818182</v>
      </c>
      <c r="N23" s="6">
        <f t="shared" si="0"/>
        <v>11196.909090909092</v>
      </c>
      <c r="O23" s="15">
        <f>N23+$H23</f>
        <v>13993.636363636364</v>
      </c>
      <c r="P23" s="14">
        <f>$C$16^5/8/A23</f>
        <v>5.851428571428572E-11</v>
      </c>
    </row>
    <row r="24" spans="1:15" ht="12.75">
      <c r="A24" s="1"/>
      <c r="B24" s="6"/>
      <c r="C24" s="5"/>
      <c r="D24" s="6"/>
      <c r="E24" s="6"/>
      <c r="F24" s="2"/>
      <c r="G24" s="6"/>
      <c r="H24" s="6"/>
      <c r="I24" s="6"/>
      <c r="J24" s="6"/>
      <c r="K24" s="6"/>
      <c r="L24" s="6"/>
      <c r="M24" s="6"/>
      <c r="O24" s="11"/>
    </row>
    <row r="25" spans="1:11" ht="12.75">
      <c r="A25" s="8" t="s">
        <v>45</v>
      </c>
      <c r="B25" s="6"/>
      <c r="C25" s="5"/>
      <c r="D25" s="6"/>
      <c r="E25" s="6"/>
      <c r="F25" s="2"/>
      <c r="G25" s="6"/>
      <c r="H25" s="6"/>
      <c r="I25" s="6"/>
      <c r="J25" s="6"/>
      <c r="K25" s="6"/>
    </row>
    <row r="26" spans="1:11" ht="12.75">
      <c r="A26" s="1"/>
      <c r="B26" s="6"/>
      <c r="C26" s="5"/>
      <c r="D26" s="6"/>
      <c r="E26" s="6"/>
      <c r="F26" s="2"/>
      <c r="G26" s="6"/>
      <c r="H26" s="6"/>
      <c r="I26" s="6"/>
      <c r="J26" s="6"/>
      <c r="K26" s="6"/>
    </row>
    <row r="27" spans="1:16" ht="51">
      <c r="A27" s="3" t="s">
        <v>4</v>
      </c>
      <c r="B27" s="3" t="s">
        <v>17</v>
      </c>
      <c r="C27" s="3" t="s">
        <v>5</v>
      </c>
      <c r="D27" s="3" t="s">
        <v>36</v>
      </c>
      <c r="E27" s="3" t="s">
        <v>37</v>
      </c>
      <c r="F27" s="3" t="s">
        <v>34</v>
      </c>
      <c r="G27" s="3" t="s">
        <v>38</v>
      </c>
      <c r="H27" s="3" t="s">
        <v>39</v>
      </c>
      <c r="I27" s="3" t="s">
        <v>40</v>
      </c>
      <c r="J27" s="3" t="s">
        <v>43</v>
      </c>
      <c r="K27" s="3" t="s">
        <v>41</v>
      </c>
      <c r="L27" s="3" t="s">
        <v>42</v>
      </c>
      <c r="M27" s="3" t="s">
        <v>47</v>
      </c>
      <c r="N27" s="3" t="s">
        <v>46</v>
      </c>
      <c r="O27" s="3" t="s">
        <v>74</v>
      </c>
      <c r="P27" s="3" t="s">
        <v>73</v>
      </c>
    </row>
    <row r="28" spans="1:16" ht="12.75">
      <c r="A28" s="1"/>
      <c r="B28" s="1"/>
      <c r="C28" s="1"/>
      <c r="D28" s="1"/>
      <c r="E28" s="1"/>
      <c r="F28" s="1"/>
      <c r="G28" s="1"/>
      <c r="H28" s="1"/>
      <c r="I28" s="1"/>
      <c r="J28" s="1"/>
      <c r="K28" s="1"/>
      <c r="L28" s="1"/>
      <c r="M28" s="1"/>
      <c r="N28" s="1"/>
      <c r="O28" s="1"/>
      <c r="P28" s="10"/>
    </row>
    <row r="29" spans="1:16" ht="13.5" thickBot="1">
      <c r="A29" s="1">
        <v>512</v>
      </c>
      <c r="B29" s="6">
        <v>22</v>
      </c>
      <c r="C29" s="5">
        <f>A29*8</f>
        <v>4096</v>
      </c>
      <c r="D29" s="6">
        <f>C29/B29</f>
        <v>186.1818181818182</v>
      </c>
      <c r="E29" s="6">
        <f>$C$10*5+C$11*8/B29*3+C$12*3+C$13*8/B29*3+$C$14*2</f>
        <v>627.8181818181819</v>
      </c>
      <c r="F29" s="2">
        <f>$B29*$D29*3/($D29*3+$E29)</f>
        <v>10.357701149425287</v>
      </c>
      <c r="G29" s="2">
        <f>$B29*$D29/($D29*3+$E29)</f>
        <v>3.4525670498084287</v>
      </c>
      <c r="H29" s="6">
        <f>D29*3+E29</f>
        <v>1186.3636363636365</v>
      </c>
      <c r="I29" s="6">
        <f>100*(1-3*D29/H29)</f>
        <v>52.919540229885065</v>
      </c>
      <c r="J29" s="6">
        <f>$C$15</f>
        <v>10</v>
      </c>
      <c r="K29" s="6">
        <f>J29+H29/3</f>
        <v>405.4545454545455</v>
      </c>
      <c r="L29" s="6">
        <f aca="true" t="shared" si="1" ref="L29:N30">K29+$H29/3</f>
        <v>800.909090909091</v>
      </c>
      <c r="M29" s="6">
        <f t="shared" si="1"/>
        <v>1196.3636363636365</v>
      </c>
      <c r="N29" s="6">
        <f t="shared" si="1"/>
        <v>1591.818181818182</v>
      </c>
      <c r="O29" s="6">
        <f>N29+$H29</f>
        <v>2778.1818181818185</v>
      </c>
      <c r="P29" s="11">
        <f>$C$16^5/8/A29</f>
        <v>8E-10</v>
      </c>
    </row>
    <row r="30" spans="1:16" ht="13.5" thickBot="1">
      <c r="A30" s="16">
        <v>7000</v>
      </c>
      <c r="B30" s="15">
        <v>22</v>
      </c>
      <c r="C30" s="5">
        <f>A30*8</f>
        <v>56000</v>
      </c>
      <c r="D30" s="6">
        <f>C30/B30</f>
        <v>2545.4545454545455</v>
      </c>
      <c r="E30" s="6">
        <f>$C$10*5+C$11*8/B30*3+C$12*3+C$13*8/B30*3+$C$14*2</f>
        <v>627.8181818181819</v>
      </c>
      <c r="F30" s="13">
        <f>$B30*$D30*3/($D30*3+$E30)</f>
        <v>20.328691175499966</v>
      </c>
      <c r="G30" s="2">
        <f>$B30*$D30/($D30*3+$E30)</f>
        <v>6.776230391833322</v>
      </c>
      <c r="H30" s="6">
        <f>D30*3+E30</f>
        <v>8264.181818181818</v>
      </c>
      <c r="I30" s="6">
        <f>100*(1-3*D30/H30)</f>
        <v>7.596858293181974</v>
      </c>
      <c r="J30" s="6">
        <f>$C$15</f>
        <v>10</v>
      </c>
      <c r="K30" s="6">
        <f>J30+H30/3</f>
        <v>2764.7272727272725</v>
      </c>
      <c r="L30" s="6">
        <f t="shared" si="1"/>
        <v>5519.454545454545</v>
      </c>
      <c r="M30" s="6">
        <f t="shared" si="1"/>
        <v>8274.181818181818</v>
      </c>
      <c r="N30" s="6">
        <f t="shared" si="1"/>
        <v>11028.90909090909</v>
      </c>
      <c r="O30" s="15">
        <f>N30+$H30/3</f>
        <v>13783.636363636362</v>
      </c>
      <c r="P30" s="14">
        <f>$C$16^5/8/A30</f>
        <v>5.851428571428572E-11</v>
      </c>
    </row>
    <row r="31" spans="1:15" ht="12.75">
      <c r="A31" s="1"/>
      <c r="B31" s="6"/>
      <c r="C31" s="5"/>
      <c r="D31" s="6"/>
      <c r="E31" s="6"/>
      <c r="F31" s="2"/>
      <c r="G31" s="2"/>
      <c r="H31" s="6"/>
      <c r="I31" s="6"/>
      <c r="J31" s="6"/>
      <c r="K31" s="6"/>
      <c r="L31" s="6"/>
      <c r="M31" s="6"/>
      <c r="N31" s="6"/>
      <c r="O31" s="11"/>
    </row>
    <row r="32" spans="1:11" ht="12.75">
      <c r="A32" s="1"/>
      <c r="B32" s="5"/>
      <c r="C32" s="5"/>
      <c r="D32" s="6"/>
      <c r="E32" s="6"/>
      <c r="F32" s="2"/>
      <c r="G32" s="6"/>
      <c r="H32" s="6"/>
      <c r="I32" s="6"/>
      <c r="J32" s="6"/>
      <c r="K32" s="6"/>
    </row>
    <row r="33" spans="1:11" ht="12.75">
      <c r="A33" s="1"/>
      <c r="B33" s="5"/>
      <c r="C33" s="5"/>
      <c r="D33" s="6"/>
      <c r="E33" s="6"/>
      <c r="F33" s="2"/>
      <c r="G33" s="6"/>
      <c r="H33" s="6"/>
      <c r="I33" s="6"/>
      <c r="J33" s="6"/>
      <c r="K33" s="6"/>
    </row>
    <row r="34" spans="1:11" ht="12.75">
      <c r="A34" s="1"/>
      <c r="B34" s="5"/>
      <c r="C34" s="5"/>
      <c r="D34" s="6"/>
      <c r="E34" s="6"/>
      <c r="F34" s="2"/>
      <c r="G34" s="6"/>
      <c r="H34" s="6"/>
      <c r="I34" s="6"/>
      <c r="J34" s="6"/>
      <c r="K34" s="6"/>
    </row>
    <row r="35" spans="1:11" ht="12.75">
      <c r="A35" s="1"/>
      <c r="B35" s="5"/>
      <c r="C35" s="5"/>
      <c r="D35" s="6"/>
      <c r="E35" s="6"/>
      <c r="F35" s="2"/>
      <c r="G35" s="6"/>
      <c r="H35" s="6"/>
      <c r="I35" s="6"/>
      <c r="J35" s="6"/>
      <c r="K35" s="6"/>
    </row>
    <row r="36" spans="1:11" ht="12.75">
      <c r="A36" s="1"/>
      <c r="B36" s="5"/>
      <c r="C36" s="5"/>
      <c r="D36" s="6"/>
      <c r="E36" s="6"/>
      <c r="F36" s="2"/>
      <c r="G36" s="6"/>
      <c r="H36" s="6"/>
      <c r="I36" s="6"/>
      <c r="J36" s="6"/>
      <c r="K36" s="6"/>
    </row>
  </sheetData>
  <mergeCells count="5">
    <mergeCell ref="D15:E15"/>
    <mergeCell ref="D16:E16"/>
    <mergeCell ref="A3:G3"/>
    <mergeCell ref="A4:E4"/>
    <mergeCell ref="A5:G5"/>
  </mergeCells>
  <printOptions/>
  <pageMargins left="0.75" right="0.75" top="1" bottom="1" header="0.5" footer="0.5"/>
  <pageSetup fitToHeight="1"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pageSetUpPr fitToPage="1"/>
  </sheetPr>
  <dimension ref="A1:O43"/>
  <sheetViews>
    <sheetView zoomScale="75" zoomScaleNormal="75" workbookViewId="0" topLeftCell="A10">
      <selection activeCell="N45" sqref="N45"/>
    </sheetView>
  </sheetViews>
  <sheetFormatPr defaultColWidth="9.140625" defaultRowHeight="12.75"/>
  <cols>
    <col min="1" max="1" width="16.28125" style="0" customWidth="1"/>
    <col min="2" max="2" width="15.421875" style="0" customWidth="1"/>
    <col min="6" max="6" width="12.8515625" style="0" customWidth="1"/>
    <col min="7" max="7" width="10.28125" style="0" customWidth="1"/>
    <col min="15" max="15" width="9.7109375" style="0" customWidth="1"/>
  </cols>
  <sheetData>
    <row r="1" ht="15">
      <c r="B1" s="43" t="s">
        <v>108</v>
      </c>
    </row>
    <row r="3" spans="1:8" ht="12.75">
      <c r="A3" s="54" t="s">
        <v>10</v>
      </c>
      <c r="B3" s="54"/>
      <c r="C3" s="54"/>
      <c r="D3" s="54"/>
      <c r="E3" s="54"/>
      <c r="F3" s="54"/>
      <c r="G3" s="54"/>
      <c r="H3" s="4"/>
    </row>
    <row r="4" spans="1:5" ht="12.75">
      <c r="A4" s="54" t="s">
        <v>11</v>
      </c>
      <c r="B4" s="54"/>
      <c r="C4" s="54"/>
      <c r="D4" s="54"/>
      <c r="E4" s="54"/>
    </row>
    <row r="5" spans="1:8" ht="12.75">
      <c r="A5" s="54" t="s">
        <v>12</v>
      </c>
      <c r="B5" s="54"/>
      <c r="C5" s="54"/>
      <c r="D5" s="54"/>
      <c r="E5" s="54"/>
      <c r="F5" s="54"/>
      <c r="G5" s="54"/>
      <c r="H5" s="4"/>
    </row>
    <row r="6" spans="1:8" ht="12.75">
      <c r="A6" s="4" t="s">
        <v>23</v>
      </c>
      <c r="B6" s="4"/>
      <c r="C6" s="4"/>
      <c r="D6" s="4"/>
      <c r="E6" s="4"/>
      <c r="F6" s="4"/>
      <c r="G6" s="4"/>
      <c r="H6" s="4"/>
    </row>
    <row r="7" spans="1:8" ht="12.75">
      <c r="A7" s="4" t="s">
        <v>58</v>
      </c>
      <c r="B7" s="4"/>
      <c r="C7" s="4"/>
      <c r="D7" s="4"/>
      <c r="E7" s="4"/>
      <c r="F7" s="4"/>
      <c r="G7" s="4"/>
      <c r="H7" s="4"/>
    </row>
    <row r="8" ht="12.75">
      <c r="A8" s="4" t="s">
        <v>59</v>
      </c>
    </row>
    <row r="10" spans="1:3" ht="12.75">
      <c r="A10" s="55" t="s">
        <v>7</v>
      </c>
      <c r="B10" s="55"/>
      <c r="C10" s="1">
        <v>25</v>
      </c>
    </row>
    <row r="11" spans="2:3" ht="12.75">
      <c r="B11" s="7" t="s">
        <v>6</v>
      </c>
      <c r="C11" s="1">
        <v>34</v>
      </c>
    </row>
    <row r="12" spans="2:3" ht="12.75">
      <c r="B12" s="7" t="s">
        <v>8</v>
      </c>
      <c r="C12" s="1">
        <v>10</v>
      </c>
    </row>
    <row r="13" spans="2:3" ht="12.75">
      <c r="B13" s="7" t="s">
        <v>9</v>
      </c>
      <c r="C13" s="1">
        <v>27</v>
      </c>
    </row>
    <row r="14" spans="2:3" ht="12.75">
      <c r="B14" s="7" t="s">
        <v>31</v>
      </c>
      <c r="C14" s="1">
        <v>30</v>
      </c>
    </row>
    <row r="15" spans="2:3" ht="12.75">
      <c r="B15" s="7" t="s">
        <v>56</v>
      </c>
      <c r="C15" s="1">
        <v>400</v>
      </c>
    </row>
    <row r="16" spans="2:3" ht="15.75">
      <c r="B16" s="7" t="s">
        <v>64</v>
      </c>
      <c r="C16" s="1">
        <v>0.33</v>
      </c>
    </row>
    <row r="17" spans="2:3" ht="15.75">
      <c r="B17" s="7" t="s">
        <v>65</v>
      </c>
      <c r="C17" s="1">
        <v>0.73</v>
      </c>
    </row>
    <row r="19" ht="12.75">
      <c r="A19" s="8" t="s">
        <v>44</v>
      </c>
    </row>
    <row r="21" spans="1:15" ht="38.25">
      <c r="A21" s="3" t="s">
        <v>4</v>
      </c>
      <c r="B21" s="3" t="s">
        <v>17</v>
      </c>
      <c r="C21" s="3" t="s">
        <v>5</v>
      </c>
      <c r="D21" s="3" t="s">
        <v>13</v>
      </c>
      <c r="E21" s="3" t="s">
        <v>14</v>
      </c>
      <c r="F21" s="3" t="s">
        <v>18</v>
      </c>
      <c r="H21" s="3" t="s">
        <v>20</v>
      </c>
      <c r="I21" s="3" t="s">
        <v>28</v>
      </c>
      <c r="J21" s="3" t="s">
        <v>21</v>
      </c>
      <c r="K21" s="3" t="s">
        <v>22</v>
      </c>
      <c r="L21" s="3" t="s">
        <v>24</v>
      </c>
      <c r="M21" s="3" t="s">
        <v>54</v>
      </c>
      <c r="N21" s="3" t="s">
        <v>127</v>
      </c>
      <c r="O21" s="3" t="s">
        <v>128</v>
      </c>
    </row>
    <row r="22" spans="1:15" ht="12.75">
      <c r="A22" s="1"/>
      <c r="B22" s="1"/>
      <c r="C22" s="1"/>
      <c r="D22" s="1"/>
      <c r="E22" s="1"/>
      <c r="F22" s="1"/>
      <c r="H22" s="1"/>
      <c r="I22" s="1"/>
      <c r="J22" s="1"/>
      <c r="K22" s="1"/>
      <c r="L22" s="1"/>
      <c r="M22" s="1"/>
      <c r="N22" s="1"/>
      <c r="O22" s="10"/>
    </row>
    <row r="23" spans="1:15" ht="13.5" thickBot="1">
      <c r="A23" s="1">
        <v>512</v>
      </c>
      <c r="B23" s="5">
        <v>22</v>
      </c>
      <c r="C23" s="5">
        <f>A23*8</f>
        <v>4096</v>
      </c>
      <c r="D23" s="6">
        <f>C23/B23</f>
        <v>186.1818181818182</v>
      </c>
      <c r="E23" s="6">
        <f>$C$10*2+C$11*8/B23+C$12+C$13*8/B23+C$14</f>
        <v>112.18181818181817</v>
      </c>
      <c r="F23" s="2">
        <f>B23*D23/(D23+E23)</f>
        <v>13.728214503351614</v>
      </c>
      <c r="H23" s="6">
        <f>D23+E23</f>
        <v>298.3636363636364</v>
      </c>
      <c r="I23" s="6">
        <f>100*(1-D23/H23)</f>
        <v>37.599024984765386</v>
      </c>
      <c r="J23" s="6">
        <f>$C$15</f>
        <v>400</v>
      </c>
      <c r="K23" s="6">
        <f aca="true" t="shared" si="0" ref="K23:M24">J23+$C$15</f>
        <v>800</v>
      </c>
      <c r="L23" s="6">
        <f t="shared" si="0"/>
        <v>1200</v>
      </c>
      <c r="M23" s="6">
        <f t="shared" si="0"/>
        <v>1600</v>
      </c>
      <c r="N23" s="6">
        <f>M23+$C$15*8</f>
        <v>4800</v>
      </c>
      <c r="O23" s="11">
        <f>$C$16^11/8/A23</f>
        <v>1.2339381473077842E-09</v>
      </c>
    </row>
    <row r="24" spans="1:15" ht="13.5" thickBot="1">
      <c r="A24" s="16">
        <f>A23*24</f>
        <v>12288</v>
      </c>
      <c r="B24" s="17">
        <v>22</v>
      </c>
      <c r="C24" s="5">
        <f>A24*8</f>
        <v>98304</v>
      </c>
      <c r="D24" s="6">
        <f>C24/B24</f>
        <v>4468.363636363636</v>
      </c>
      <c r="E24" s="6">
        <f>$C$10*2+C$11*8/B24+C$12+C$13*8/B24+C$14</f>
        <v>112.18181818181817</v>
      </c>
      <c r="F24" s="13">
        <f>B24*D24/(D24+E24)</f>
        <v>21.46119953955464</v>
      </c>
      <c r="H24" s="6">
        <f>D24+E24</f>
        <v>4580.545454545454</v>
      </c>
      <c r="I24" s="6">
        <f>100*(1-D24/H24)</f>
        <v>2.4490930020243717</v>
      </c>
      <c r="J24" s="6">
        <f>$C$15*A24/A$23</f>
        <v>9600</v>
      </c>
      <c r="K24" s="6">
        <f t="shared" si="0"/>
        <v>10000</v>
      </c>
      <c r="L24" s="6">
        <f t="shared" si="0"/>
        <v>10400</v>
      </c>
      <c r="M24" s="6">
        <f t="shared" si="0"/>
        <v>10800</v>
      </c>
      <c r="N24" s="15">
        <f>M24+$C$15*8</f>
        <v>14000</v>
      </c>
      <c r="O24" s="14">
        <f>$C$16^11/8/A24</f>
        <v>5.141408947115767E-11</v>
      </c>
    </row>
    <row r="25" spans="1:12" ht="12.75">
      <c r="A25" s="1"/>
      <c r="B25" s="5"/>
      <c r="C25" s="5"/>
      <c r="D25" s="6"/>
      <c r="E25" s="6"/>
      <c r="F25" s="2"/>
      <c r="H25" s="6"/>
      <c r="I25" s="6"/>
      <c r="J25" s="6"/>
      <c r="K25" s="6"/>
      <c r="L25" s="6"/>
    </row>
    <row r="26" spans="1:15" ht="13.5" thickBot="1">
      <c r="A26" s="1">
        <v>512</v>
      </c>
      <c r="B26" s="5">
        <v>33</v>
      </c>
      <c r="C26" s="5">
        <f>A26*8</f>
        <v>4096</v>
      </c>
      <c r="D26" s="6">
        <f>C26/B26</f>
        <v>124.12121212121212</v>
      </c>
      <c r="E26" s="6">
        <f>$C$10*2+C$11*8/B26+C$12+C$13*8/B26+C$14</f>
        <v>104.7878787878788</v>
      </c>
      <c r="F26" s="2">
        <f>B26*D26/(D26+E26)</f>
        <v>17.893566322478154</v>
      </c>
      <c r="H26" s="6">
        <f>D26+E26</f>
        <v>228.90909090909093</v>
      </c>
      <c r="I26" s="6">
        <f>100*(1-D26/H26)</f>
        <v>45.77707175006619</v>
      </c>
      <c r="J26" s="6">
        <f>$C$15</f>
        <v>400</v>
      </c>
      <c r="K26" s="6">
        <f aca="true" t="shared" si="1" ref="K26:M27">J26+$C$15</f>
        <v>800</v>
      </c>
      <c r="L26" s="6">
        <f t="shared" si="1"/>
        <v>1200</v>
      </c>
      <c r="M26" s="6">
        <f t="shared" si="1"/>
        <v>1600</v>
      </c>
      <c r="N26" s="6">
        <f>M26+$C$15*8</f>
        <v>4800</v>
      </c>
      <c r="O26" s="11">
        <f>$C$16^11/8/A26</f>
        <v>1.2339381473077842E-09</v>
      </c>
    </row>
    <row r="27" spans="1:15" ht="13.5" thickBot="1">
      <c r="A27" s="16">
        <v>12288</v>
      </c>
      <c r="B27" s="17">
        <v>33</v>
      </c>
      <c r="C27" s="5">
        <f>A27*8</f>
        <v>98304</v>
      </c>
      <c r="D27" s="6">
        <f>C27/B27</f>
        <v>2978.909090909091</v>
      </c>
      <c r="E27" s="6">
        <f>$C$10*2+C$11*8/B27+C$12+C$13*8/B27+C$14</f>
        <v>104.7878787878788</v>
      </c>
      <c r="F27" s="13">
        <f>B27*D27/(D27+E27)</f>
        <v>31.87861873783927</v>
      </c>
      <c r="H27" s="6">
        <f>D27+E27</f>
        <v>3083.69696969697</v>
      </c>
      <c r="I27" s="6">
        <f>100*(1-D27/H27)</f>
        <v>3.3981250368506966</v>
      </c>
      <c r="J27" s="6">
        <f>$C$15*A27/A$23</f>
        <v>9600</v>
      </c>
      <c r="K27" s="6">
        <f t="shared" si="1"/>
        <v>10000</v>
      </c>
      <c r="L27" s="6">
        <f t="shared" si="1"/>
        <v>10400</v>
      </c>
      <c r="M27" s="6">
        <f t="shared" si="1"/>
        <v>10800</v>
      </c>
      <c r="N27" s="15">
        <f>M27+$C$15*8</f>
        <v>14000</v>
      </c>
      <c r="O27" s="14">
        <f>$C$16^11/8/A27</f>
        <v>5.141408947115767E-11</v>
      </c>
    </row>
    <row r="28" spans="1:12" ht="12.75">
      <c r="A28" s="1"/>
      <c r="B28" s="5"/>
      <c r="C28" s="5"/>
      <c r="D28" s="6"/>
      <c r="E28" s="6"/>
      <c r="F28" s="2"/>
      <c r="H28" s="6"/>
      <c r="I28" s="6"/>
      <c r="J28" s="6"/>
      <c r="K28" s="6"/>
      <c r="L28" s="6"/>
    </row>
    <row r="29" spans="1:15" ht="13.5" thickBot="1">
      <c r="A29" s="1">
        <v>512</v>
      </c>
      <c r="B29" s="5">
        <v>44</v>
      </c>
      <c r="C29" s="5">
        <f>A29*8</f>
        <v>4096</v>
      </c>
      <c r="D29" s="6">
        <f>C29/B29</f>
        <v>93.0909090909091</v>
      </c>
      <c r="E29" s="6">
        <f>$C$10*2+C$11*8/B29+C$12+C$13*8/B29+C$14</f>
        <v>101.0909090909091</v>
      </c>
      <c r="F29" s="2">
        <f>B29*D29/(D29+E29)</f>
        <v>21.093632958801496</v>
      </c>
      <c r="H29" s="6">
        <f>D29+E29</f>
        <v>194.1818181818182</v>
      </c>
      <c r="I29" s="6">
        <f>100*(1-D29/H29)</f>
        <v>52.059925093632955</v>
      </c>
      <c r="J29" s="6">
        <f>$C$15</f>
        <v>400</v>
      </c>
      <c r="K29" s="6">
        <f aca="true" t="shared" si="2" ref="K29:M30">J29+$C$15</f>
        <v>800</v>
      </c>
      <c r="L29" s="6">
        <f t="shared" si="2"/>
        <v>1200</v>
      </c>
      <c r="M29" s="6">
        <f t="shared" si="2"/>
        <v>1600</v>
      </c>
      <c r="N29" s="6">
        <f>M29+$C$15*8</f>
        <v>4800</v>
      </c>
      <c r="O29" s="11">
        <f>$C$17^11/8/A29</f>
        <v>7.659342909383776E-06</v>
      </c>
    </row>
    <row r="30" spans="1:15" ht="13.5" thickBot="1">
      <c r="A30" s="16">
        <v>12288</v>
      </c>
      <c r="B30" s="17">
        <v>44</v>
      </c>
      <c r="C30" s="5">
        <f>A30*8</f>
        <v>98304</v>
      </c>
      <c r="D30" s="6">
        <f>C30/B30</f>
        <v>2234.181818181818</v>
      </c>
      <c r="E30" s="6">
        <f>$C$10*2+C$11*8/B30+C$12+C$13*8/B30+C$14</f>
        <v>101.0909090909091</v>
      </c>
      <c r="F30" s="13">
        <f>B30*D30/(D30+E30)</f>
        <v>42.09529741513548</v>
      </c>
      <c r="H30" s="6">
        <f>D30+E30</f>
        <v>2335.272727272727</v>
      </c>
      <c r="I30" s="6">
        <f>100*(1-D30/H30)</f>
        <v>4.3288695110557445</v>
      </c>
      <c r="J30" s="6">
        <f>$C$15*A30/A$23</f>
        <v>9600</v>
      </c>
      <c r="K30" s="6">
        <f t="shared" si="2"/>
        <v>10000</v>
      </c>
      <c r="L30" s="6">
        <f t="shared" si="2"/>
        <v>10400</v>
      </c>
      <c r="M30" s="6">
        <f t="shared" si="2"/>
        <v>10800</v>
      </c>
      <c r="N30" s="15">
        <f>M30+$C$15*8</f>
        <v>14000</v>
      </c>
      <c r="O30" s="14">
        <f>$C$17^11/8/A30</f>
        <v>3.1913928789099067E-07</v>
      </c>
    </row>
    <row r="32" spans="1:11" ht="12.75">
      <c r="A32" s="8" t="s">
        <v>45</v>
      </c>
      <c r="B32" s="6"/>
      <c r="C32" s="5"/>
      <c r="D32" s="6"/>
      <c r="E32" s="6"/>
      <c r="F32" s="2"/>
      <c r="G32" s="6"/>
      <c r="H32" s="6"/>
      <c r="I32" s="6"/>
      <c r="J32" s="6"/>
      <c r="K32" s="6"/>
    </row>
    <row r="33" spans="1:11" ht="12.75">
      <c r="A33" s="1"/>
      <c r="B33" s="6"/>
      <c r="C33" s="5"/>
      <c r="D33" s="6"/>
      <c r="E33" s="6"/>
      <c r="F33" s="2"/>
      <c r="G33" s="6"/>
      <c r="H33" s="6"/>
      <c r="I33" s="6"/>
      <c r="J33" s="6"/>
      <c r="K33" s="6"/>
    </row>
    <row r="34" spans="1:15" ht="51">
      <c r="A34" s="3" t="s">
        <v>4</v>
      </c>
      <c r="B34" s="3" t="s">
        <v>17</v>
      </c>
      <c r="C34" s="3" t="s">
        <v>5</v>
      </c>
      <c r="D34" s="3" t="s">
        <v>36</v>
      </c>
      <c r="E34" s="3" t="s">
        <v>37</v>
      </c>
      <c r="F34" s="3" t="s">
        <v>34</v>
      </c>
      <c r="G34" s="3" t="s">
        <v>38</v>
      </c>
      <c r="H34" s="3" t="s">
        <v>39</v>
      </c>
      <c r="I34" s="3" t="s">
        <v>40</v>
      </c>
      <c r="J34" s="3" t="s">
        <v>43</v>
      </c>
      <c r="K34" s="3" t="s">
        <v>41</v>
      </c>
      <c r="L34" s="3" t="s">
        <v>42</v>
      </c>
      <c r="M34" s="3" t="s">
        <v>47</v>
      </c>
      <c r="N34" s="3" t="s">
        <v>127</v>
      </c>
      <c r="O34" s="3" t="s">
        <v>128</v>
      </c>
    </row>
    <row r="35" spans="1:15" ht="12.75">
      <c r="A35" s="1"/>
      <c r="B35" s="1"/>
      <c r="C35" s="1"/>
      <c r="D35" s="1"/>
      <c r="E35" s="1"/>
      <c r="F35" s="1"/>
      <c r="G35" s="1"/>
      <c r="H35" s="1"/>
      <c r="I35" s="1"/>
      <c r="J35" s="1"/>
      <c r="K35" s="1"/>
      <c r="L35" s="1"/>
      <c r="M35" s="1"/>
      <c r="N35" s="1"/>
      <c r="O35" s="10"/>
    </row>
    <row r="36" spans="1:15" ht="13.5" thickBot="1">
      <c r="A36" s="1">
        <v>512</v>
      </c>
      <c r="B36" s="6">
        <v>22</v>
      </c>
      <c r="C36" s="5">
        <f>A36*8</f>
        <v>4096</v>
      </c>
      <c r="D36" s="6">
        <f>C36/B36</f>
        <v>186.1818181818182</v>
      </c>
      <c r="E36" s="6">
        <f>$C$10*5+C$11*8/B36*3+C$12*3+C$13*8/B36*3+$C$14*2</f>
        <v>281.54545454545456</v>
      </c>
      <c r="F36" s="2">
        <f>$B36*$D36*3/($D36*3+$E36)</f>
        <v>14.626988421166542</v>
      </c>
      <c r="G36" s="2">
        <f>$B36*$D36/($D36*3+$E36)</f>
        <v>4.875662807055514</v>
      </c>
      <c r="H36" s="6">
        <f>D36*3+E36</f>
        <v>840.090909090909</v>
      </c>
      <c r="I36" s="6">
        <f>100*(1-3*D36/H36)</f>
        <v>33.513688994697546</v>
      </c>
      <c r="J36" s="6">
        <f>$C$15</f>
        <v>400</v>
      </c>
      <c r="K36" s="6">
        <f>J36+$C$15</f>
        <v>800</v>
      </c>
      <c r="L36" s="6">
        <f>K36+$C$15</f>
        <v>1200</v>
      </c>
      <c r="M36" s="6">
        <f>L36+$C$15</f>
        <v>1600</v>
      </c>
      <c r="N36" s="6">
        <f>M36+$C$15*8</f>
        <v>4800</v>
      </c>
      <c r="O36" s="11">
        <f>$C$16^11/8/A36</f>
        <v>1.2339381473077842E-09</v>
      </c>
    </row>
    <row r="37" spans="1:15" ht="13.5" thickBot="1">
      <c r="A37" s="16">
        <v>12288</v>
      </c>
      <c r="B37" s="15">
        <v>22</v>
      </c>
      <c r="C37" s="5">
        <f>A37*8</f>
        <v>98304</v>
      </c>
      <c r="D37" s="6">
        <f>C37/B37</f>
        <v>4468.363636363636</v>
      </c>
      <c r="E37" s="6">
        <f>$C$10*5+C$11*8/B37*3+C$12*3+C$13*8/B37*3+$C$14*2</f>
        <v>281.54545454545456</v>
      </c>
      <c r="F37" s="13">
        <f>$B37*$D37*3/($D37*3+$E37)</f>
        <v>21.547441764694163</v>
      </c>
      <c r="G37" s="2">
        <f>$B37*$D37/($D37*3+$E37)</f>
        <v>7.182480588231388</v>
      </c>
      <c r="H37" s="6">
        <f>D37*3+E37</f>
        <v>13686.636363636362</v>
      </c>
      <c r="I37" s="6">
        <f>100*(1-3*D37/H37)</f>
        <v>2.057082887753814</v>
      </c>
      <c r="J37" s="6">
        <f>$C$15*A37/A$23</f>
        <v>9600</v>
      </c>
      <c r="K37" s="6">
        <f>J37+$C$15</f>
        <v>10000</v>
      </c>
      <c r="L37" s="6">
        <f>K37+$C$15</f>
        <v>10400</v>
      </c>
      <c r="M37" s="6">
        <f>L37+$C$15</f>
        <v>10800</v>
      </c>
      <c r="N37" s="15">
        <f>M37+$C$15*8</f>
        <v>14000</v>
      </c>
      <c r="O37" s="14">
        <f>$C$16^11/8/A37</f>
        <v>5.141408947115767E-11</v>
      </c>
    </row>
    <row r="38" spans="1:13" ht="12.75">
      <c r="A38" s="1"/>
      <c r="B38" s="6"/>
      <c r="C38" s="5"/>
      <c r="D38" s="6"/>
      <c r="E38" s="6"/>
      <c r="F38" s="2"/>
      <c r="G38" s="2"/>
      <c r="H38" s="6"/>
      <c r="I38" s="6"/>
      <c r="J38" s="6"/>
      <c r="K38" s="6"/>
      <c r="L38" s="6"/>
      <c r="M38" s="6"/>
    </row>
    <row r="39" spans="1:15" ht="13.5" thickBot="1">
      <c r="A39" s="1">
        <v>512</v>
      </c>
      <c r="B39" s="6">
        <v>33</v>
      </c>
      <c r="C39" s="5">
        <f>A39*8</f>
        <v>4096</v>
      </c>
      <c r="D39" s="6">
        <f>C39/B39</f>
        <v>124.12121212121212</v>
      </c>
      <c r="E39" s="6">
        <f>$C$10*5+C$11*8/B39*3+C$12*3+C$13*8/B39*3+$C$14*2</f>
        <v>259.3636363636364</v>
      </c>
      <c r="F39" s="2">
        <f>$B39*$D39*3/($D39*3+$E39)</f>
        <v>19.45143186069938</v>
      </c>
      <c r="G39" s="2">
        <f>$B39*$D39/($D39*3+$E39)</f>
        <v>6.483810620233127</v>
      </c>
      <c r="H39" s="6">
        <f>D39*3+E39</f>
        <v>631.7272727272727</v>
      </c>
      <c r="I39" s="6">
        <f>100*(1-3*D39/H39)</f>
        <v>41.05626708878975</v>
      </c>
      <c r="J39" s="6">
        <f>$C$15</f>
        <v>400</v>
      </c>
      <c r="K39" s="6">
        <f aca="true" t="shared" si="3" ref="K39:M40">J39+$C$15</f>
        <v>800</v>
      </c>
      <c r="L39" s="6">
        <f t="shared" si="3"/>
        <v>1200</v>
      </c>
      <c r="M39" s="6">
        <f t="shared" si="3"/>
        <v>1600</v>
      </c>
      <c r="N39" s="6">
        <f>M39+$C$15*8</f>
        <v>4800</v>
      </c>
      <c r="O39" s="11">
        <f>$C$16^11/8/A39</f>
        <v>1.2339381473077842E-09</v>
      </c>
    </row>
    <row r="40" spans="1:15" ht="13.5" thickBot="1">
      <c r="A40" s="16">
        <v>12288</v>
      </c>
      <c r="B40" s="15">
        <v>33</v>
      </c>
      <c r="C40" s="5">
        <f>A40*8</f>
        <v>98304</v>
      </c>
      <c r="D40" s="6">
        <f>C40/B40</f>
        <v>2978.909090909091</v>
      </c>
      <c r="E40" s="6">
        <f>$C$10*5+C$11*8/B40*3+C$12*3+C$13*8/B40*3+$C$14*2</f>
        <v>259.3636363636364</v>
      </c>
      <c r="F40" s="13">
        <f>$B40*$D40*3/($D40*3+$E40)</f>
        <v>32.06927844835256</v>
      </c>
      <c r="G40" s="2">
        <f>$B40*$D40/($D40*3+$E40)</f>
        <v>10.689759482784188</v>
      </c>
      <c r="H40" s="6">
        <f>D40*3+E40</f>
        <v>9196.090909090908</v>
      </c>
      <c r="I40" s="6">
        <f>100*(1-3*D40/H40)</f>
        <v>2.820368338325574</v>
      </c>
      <c r="J40" s="6">
        <f>$C$15*A40/A$23</f>
        <v>9600</v>
      </c>
      <c r="K40" s="6">
        <f t="shared" si="3"/>
        <v>10000</v>
      </c>
      <c r="L40" s="6">
        <f t="shared" si="3"/>
        <v>10400</v>
      </c>
      <c r="M40" s="6">
        <f t="shared" si="3"/>
        <v>10800</v>
      </c>
      <c r="N40" s="15">
        <f>M40+$C$15*8</f>
        <v>14000</v>
      </c>
      <c r="O40" s="14">
        <f>$C$16^11/8/A40</f>
        <v>5.141408947115767E-11</v>
      </c>
    </row>
    <row r="42" spans="1:15" ht="13.5" thickBot="1">
      <c r="A42" s="1">
        <v>512</v>
      </c>
      <c r="B42" s="6">
        <v>44</v>
      </c>
      <c r="C42" s="5">
        <f>A42*8</f>
        <v>4096</v>
      </c>
      <c r="D42" s="6">
        <f>C42/B42</f>
        <v>93.0909090909091</v>
      </c>
      <c r="E42" s="6">
        <f>$C$10*5+C$11*8/B42*3+C$12*3+C$13*8/B42*3+$C$14*2</f>
        <v>248.27272727272728</v>
      </c>
      <c r="F42" s="2">
        <f>$B42*$D42*3/($D42*3+$E42)</f>
        <v>23.292779596760298</v>
      </c>
      <c r="G42" s="2">
        <f>$B42*$D42/($D42*3+$E42)</f>
        <v>7.764259865586766</v>
      </c>
      <c r="H42" s="6">
        <f>D42*3+E42</f>
        <v>527.5454545454545</v>
      </c>
      <c r="I42" s="6">
        <f>100*(1-3*D42/H42)</f>
        <v>47.06186455281751</v>
      </c>
      <c r="J42" s="6">
        <f>$C$15</f>
        <v>400</v>
      </c>
      <c r="K42" s="6">
        <f aca="true" t="shared" si="4" ref="K42:M43">J42+$C$15</f>
        <v>800</v>
      </c>
      <c r="L42" s="6">
        <f t="shared" si="4"/>
        <v>1200</v>
      </c>
      <c r="M42" s="6">
        <f t="shared" si="4"/>
        <v>1600</v>
      </c>
      <c r="N42" s="6">
        <f>M42+$C$15*8</f>
        <v>4800</v>
      </c>
      <c r="O42" s="11">
        <f>$C$17^11/8/A42</f>
        <v>7.659342909383776E-06</v>
      </c>
    </row>
    <row r="43" spans="1:15" ht="13.5" thickBot="1">
      <c r="A43" s="16">
        <v>12288</v>
      </c>
      <c r="B43" s="15">
        <v>44</v>
      </c>
      <c r="C43" s="5">
        <f>A43*8</f>
        <v>98304</v>
      </c>
      <c r="D43" s="6">
        <f>C43/B43</f>
        <v>2234.181818181818</v>
      </c>
      <c r="E43" s="6">
        <f>$C$10*5+C$11*8/B43*3+C$12*3+C$13*8/B43*3+$C$14*2</f>
        <v>248.27272727272728</v>
      </c>
      <c r="F43" s="13">
        <f>$B43*$D43*3/($D43*3+$E43)</f>
        <v>42.42838645548595</v>
      </c>
      <c r="G43" s="2">
        <f>$B43*$D43/($D43*3+$E43)</f>
        <v>14.142795485161983</v>
      </c>
      <c r="H43" s="6">
        <f>D43*3+E43</f>
        <v>6950.818181818181</v>
      </c>
      <c r="I43" s="6">
        <f>100*(1-3*D43/H43)</f>
        <v>3.571848964804658</v>
      </c>
      <c r="J43" s="6">
        <f>$C$15*A43/A$23</f>
        <v>9600</v>
      </c>
      <c r="K43" s="6">
        <f t="shared" si="4"/>
        <v>10000</v>
      </c>
      <c r="L43" s="6">
        <f t="shared" si="4"/>
        <v>10400</v>
      </c>
      <c r="M43" s="6">
        <f t="shared" si="4"/>
        <v>10800</v>
      </c>
      <c r="N43" s="15">
        <f>M43+$C$15*8</f>
        <v>14000</v>
      </c>
      <c r="O43" s="14">
        <f>$C$17^11/8/A43</f>
        <v>3.1913928789099067E-07</v>
      </c>
    </row>
  </sheetData>
  <mergeCells count="4">
    <mergeCell ref="A3:G3"/>
    <mergeCell ref="A4:E4"/>
    <mergeCell ref="A5:G5"/>
    <mergeCell ref="A10:B10"/>
  </mergeCells>
  <printOptions/>
  <pageMargins left="0.75" right="0.75" top="1" bottom="1" header="0.5" footer="0.5"/>
  <pageSetup fitToHeight="1" fitToWidth="1"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4:P26"/>
  <sheetViews>
    <sheetView zoomScale="75" zoomScaleNormal="75" workbookViewId="0" topLeftCell="A1">
      <selection activeCell="P16" sqref="P16"/>
    </sheetView>
  </sheetViews>
  <sheetFormatPr defaultColWidth="9.140625" defaultRowHeight="12.75"/>
  <cols>
    <col min="1" max="1" width="13.28125" style="1" customWidth="1"/>
    <col min="5" max="5" width="7.8515625" style="0" customWidth="1"/>
    <col min="6" max="6" width="12.28125" style="0" customWidth="1"/>
    <col min="8" max="8" width="9.140625" style="1" customWidth="1"/>
    <col min="9" max="9" width="8.421875" style="0" customWidth="1"/>
    <col min="10" max="10" width="13.57421875" style="0" customWidth="1"/>
    <col min="12" max="12" width="8.421875" style="0" customWidth="1"/>
    <col min="13" max="13" width="10.28125" style="0" customWidth="1"/>
    <col min="14" max="14" width="13.140625" style="0" customWidth="1"/>
    <col min="15" max="15" width="8.57421875" style="0" customWidth="1"/>
    <col min="16" max="16" width="8.7109375" style="0" customWidth="1"/>
  </cols>
  <sheetData>
    <row r="4" spans="2:10" ht="12.75">
      <c r="B4" s="22" t="s">
        <v>131</v>
      </c>
      <c r="J4" s="44" t="s">
        <v>132</v>
      </c>
    </row>
    <row r="5" ht="12.75">
      <c r="K5" s="1"/>
    </row>
    <row r="6" spans="1:16" ht="33.75">
      <c r="A6" s="1" t="s">
        <v>109</v>
      </c>
      <c r="B6" s="23" t="s">
        <v>4</v>
      </c>
      <c r="C6" s="23" t="s">
        <v>17</v>
      </c>
      <c r="D6" s="23" t="s">
        <v>18</v>
      </c>
      <c r="E6" s="23" t="s">
        <v>130</v>
      </c>
      <c r="F6" s="23" t="s">
        <v>123</v>
      </c>
      <c r="G6" s="23" t="s">
        <v>120</v>
      </c>
      <c r="H6" s="23" t="s">
        <v>121</v>
      </c>
      <c r="J6" s="1" t="s">
        <v>109</v>
      </c>
      <c r="K6" s="23" t="s">
        <v>4</v>
      </c>
      <c r="L6" s="23" t="s">
        <v>17</v>
      </c>
      <c r="M6" s="23" t="s">
        <v>129</v>
      </c>
      <c r="N6" s="23" t="s">
        <v>123</v>
      </c>
      <c r="O6" s="23" t="s">
        <v>120</v>
      </c>
      <c r="P6" s="23" t="s">
        <v>121</v>
      </c>
    </row>
    <row r="7" spans="10:16" ht="12.75">
      <c r="J7" s="1"/>
      <c r="P7" s="1"/>
    </row>
    <row r="8" spans="1:16" ht="12.75">
      <c r="A8" s="1" t="s">
        <v>110</v>
      </c>
      <c r="B8" s="1">
        <v>8000</v>
      </c>
      <c r="C8" s="1">
        <v>20</v>
      </c>
      <c r="D8" s="1">
        <v>18.59</v>
      </c>
      <c r="E8" s="6">
        <f>(1-D8/C8)*100</f>
        <v>7.050000000000001</v>
      </c>
      <c r="F8" s="1">
        <v>3</v>
      </c>
      <c r="G8" s="1">
        <v>4540</v>
      </c>
      <c r="H8" s="11">
        <v>5.27E-11</v>
      </c>
      <c r="J8" s="1" t="s">
        <v>110</v>
      </c>
      <c r="K8" s="1">
        <v>8000</v>
      </c>
      <c r="L8" s="1">
        <v>20</v>
      </c>
      <c r="M8" s="1">
        <v>6.27</v>
      </c>
      <c r="N8" s="1">
        <v>3</v>
      </c>
      <c r="O8" s="1">
        <v>4540</v>
      </c>
      <c r="P8" s="11">
        <v>5.27E-11</v>
      </c>
    </row>
    <row r="9" spans="1:16" ht="12.75">
      <c r="A9" s="1" t="s">
        <v>111</v>
      </c>
      <c r="B9" s="1">
        <v>8000</v>
      </c>
      <c r="C9" s="1">
        <v>30</v>
      </c>
      <c r="D9" s="1">
        <v>26.99</v>
      </c>
      <c r="E9" s="6">
        <f aca="true" t="shared" si="0" ref="E9:E26">(1-D9/C9)*100</f>
        <v>10.033333333333339</v>
      </c>
      <c r="F9" s="1">
        <v>4</v>
      </c>
      <c r="G9" s="1">
        <v>4072</v>
      </c>
      <c r="H9" s="11">
        <v>9.23E-11</v>
      </c>
      <c r="J9" s="1" t="s">
        <v>111</v>
      </c>
      <c r="K9" s="1">
        <v>8000</v>
      </c>
      <c r="L9" s="1">
        <v>30</v>
      </c>
      <c r="M9" s="1">
        <v>9.15</v>
      </c>
      <c r="N9" s="1">
        <v>4</v>
      </c>
      <c r="O9" s="1">
        <v>4072</v>
      </c>
      <c r="P9" s="11">
        <v>9.23E-11</v>
      </c>
    </row>
    <row r="10" spans="1:16" ht="12.75">
      <c r="A10" s="1" t="s">
        <v>112</v>
      </c>
      <c r="B10" s="1">
        <v>8000</v>
      </c>
      <c r="C10" s="1">
        <v>40</v>
      </c>
      <c r="D10" s="1">
        <v>34.89</v>
      </c>
      <c r="E10" s="6">
        <f t="shared" si="0"/>
        <v>12.775000000000002</v>
      </c>
      <c r="F10" s="1">
        <v>5</v>
      </c>
      <c r="G10" s="1">
        <v>3838</v>
      </c>
      <c r="H10" s="11">
        <v>7.54E-11</v>
      </c>
      <c r="J10" s="1" t="s">
        <v>112</v>
      </c>
      <c r="K10" s="1">
        <v>8000</v>
      </c>
      <c r="L10" s="1">
        <v>40</v>
      </c>
      <c r="M10" s="1">
        <v>11.89</v>
      </c>
      <c r="N10" s="1">
        <v>5</v>
      </c>
      <c r="O10" s="1">
        <v>3838</v>
      </c>
      <c r="P10" s="11">
        <v>7.54E-11</v>
      </c>
    </row>
    <row r="11" spans="2:16" ht="12.75">
      <c r="B11" s="1"/>
      <c r="C11" s="1"/>
      <c r="D11" s="1"/>
      <c r="E11" s="6"/>
      <c r="F11" s="1"/>
      <c r="G11" s="1"/>
      <c r="J11" s="1"/>
      <c r="K11" s="1"/>
      <c r="L11" s="1"/>
      <c r="M11" s="1"/>
      <c r="N11" s="1"/>
      <c r="O11" s="1"/>
      <c r="P11" s="1"/>
    </row>
    <row r="12" spans="1:16" ht="12.75">
      <c r="A12" s="1" t="s">
        <v>113</v>
      </c>
      <c r="B12" s="1">
        <v>8200</v>
      </c>
      <c r="C12" s="1">
        <v>21.7</v>
      </c>
      <c r="D12" s="1">
        <v>21.01</v>
      </c>
      <c r="E12" s="6">
        <f t="shared" si="0"/>
        <v>3.1797235023041326</v>
      </c>
      <c r="F12" s="1">
        <v>4</v>
      </c>
      <c r="G12" s="1">
        <v>12506</v>
      </c>
      <c r="H12" s="11">
        <v>1.23E-11</v>
      </c>
      <c r="J12" s="1" t="s">
        <v>113</v>
      </c>
      <c r="K12" s="1">
        <v>8200</v>
      </c>
      <c r="L12" s="1">
        <v>21.7</v>
      </c>
      <c r="M12" s="1">
        <v>7.04</v>
      </c>
      <c r="N12" s="1">
        <v>4</v>
      </c>
      <c r="O12" s="1">
        <v>12442</v>
      </c>
      <c r="P12" s="11">
        <v>1.23E-11</v>
      </c>
    </row>
    <row r="13" spans="1:16" ht="12.75">
      <c r="A13" s="1" t="s">
        <v>114</v>
      </c>
      <c r="B13" s="1">
        <v>8200</v>
      </c>
      <c r="C13" s="1">
        <v>28.9</v>
      </c>
      <c r="D13" s="1">
        <v>27.74</v>
      </c>
      <c r="E13" s="6">
        <f t="shared" si="0"/>
        <v>4.013840830449833</v>
      </c>
      <c r="F13" s="1">
        <v>4</v>
      </c>
      <c r="G13" s="1">
        <v>9474</v>
      </c>
      <c r="H13" s="11">
        <v>1.23E-11</v>
      </c>
      <c r="J13" s="1" t="s">
        <v>114</v>
      </c>
      <c r="K13" s="1">
        <v>8200</v>
      </c>
      <c r="L13" s="1">
        <v>28.9</v>
      </c>
      <c r="M13" s="1">
        <v>9.31</v>
      </c>
      <c r="N13" s="1">
        <v>4</v>
      </c>
      <c r="O13" s="1">
        <v>9410</v>
      </c>
      <c r="P13" s="11">
        <v>1.23E-11</v>
      </c>
    </row>
    <row r="14" spans="1:16" ht="12.75">
      <c r="A14" s="1" t="s">
        <v>115</v>
      </c>
      <c r="B14" s="1">
        <v>8200</v>
      </c>
      <c r="C14" s="1">
        <v>43.3</v>
      </c>
      <c r="D14" s="1">
        <v>40.88</v>
      </c>
      <c r="E14" s="6">
        <f t="shared" si="0"/>
        <v>5.588914549653568</v>
      </c>
      <c r="F14" s="1">
        <v>5</v>
      </c>
      <c r="G14" s="1">
        <v>8040</v>
      </c>
      <c r="H14" s="11">
        <v>2.56E-11</v>
      </c>
      <c r="J14" s="1" t="s">
        <v>115</v>
      </c>
      <c r="K14" s="1">
        <v>8200</v>
      </c>
      <c r="L14" s="1">
        <v>43.3</v>
      </c>
      <c r="M14" s="1">
        <v>13.76</v>
      </c>
      <c r="N14" s="1">
        <v>5</v>
      </c>
      <c r="O14" s="1">
        <v>7960</v>
      </c>
      <c r="P14" s="11">
        <v>2.56E-11</v>
      </c>
    </row>
    <row r="15" spans="2:16" ht="12.75">
      <c r="B15" s="1"/>
      <c r="C15" s="1"/>
      <c r="D15" s="1"/>
      <c r="E15" s="6"/>
      <c r="F15" s="1"/>
      <c r="G15" s="1"/>
      <c r="J15" s="1"/>
      <c r="K15" s="1"/>
      <c r="L15" s="1"/>
      <c r="M15" s="1"/>
      <c r="N15" s="1"/>
      <c r="O15" s="1"/>
      <c r="P15" s="1"/>
    </row>
    <row r="16" spans="1:16" ht="12.75">
      <c r="A16" s="1" t="s">
        <v>116</v>
      </c>
      <c r="B16" s="1">
        <v>8000</v>
      </c>
      <c r="C16" s="1">
        <v>50</v>
      </c>
      <c r="D16" s="1">
        <v>45.25</v>
      </c>
      <c r="E16" s="6">
        <f t="shared" si="0"/>
        <v>9.499999999999996</v>
      </c>
      <c r="F16" s="1">
        <v>5</v>
      </c>
      <c r="G16" s="1">
        <v>7789</v>
      </c>
      <c r="H16" s="11"/>
      <c r="J16" s="1" t="s">
        <v>116</v>
      </c>
      <c r="K16" s="1">
        <v>8000</v>
      </c>
      <c r="L16" s="1">
        <v>50</v>
      </c>
      <c r="M16" s="1">
        <v>15.22</v>
      </c>
      <c r="N16" s="1">
        <v>5</v>
      </c>
      <c r="O16" s="1">
        <v>7019</v>
      </c>
      <c r="P16" s="11"/>
    </row>
    <row r="17" spans="2:16" ht="12.75">
      <c r="B17" s="1"/>
      <c r="C17" s="1"/>
      <c r="D17" s="1"/>
      <c r="E17" s="6"/>
      <c r="F17" s="1"/>
      <c r="G17" s="1"/>
      <c r="J17" s="1"/>
      <c r="K17" s="1"/>
      <c r="L17" s="1"/>
      <c r="M17" s="1"/>
      <c r="N17" s="1"/>
      <c r="O17" s="1"/>
      <c r="P17" s="1"/>
    </row>
    <row r="18" spans="1:16" ht="12.75">
      <c r="A18" s="1" t="s">
        <v>124</v>
      </c>
      <c r="B18" s="1">
        <v>12288</v>
      </c>
      <c r="C18" s="1">
        <v>22</v>
      </c>
      <c r="D18" s="1">
        <v>21.46</v>
      </c>
      <c r="E18" s="6">
        <f t="shared" si="0"/>
        <v>2.4545454545454537</v>
      </c>
      <c r="F18" s="1">
        <v>10</v>
      </c>
      <c r="G18" s="1">
        <v>14000</v>
      </c>
      <c r="H18" s="11">
        <v>5.14E-10</v>
      </c>
      <c r="J18" s="1" t="s">
        <v>124</v>
      </c>
      <c r="K18" s="1">
        <v>12288</v>
      </c>
      <c r="L18" s="1">
        <v>22</v>
      </c>
      <c r="M18" s="1">
        <v>7.18</v>
      </c>
      <c r="N18" s="1">
        <v>10</v>
      </c>
      <c r="O18" s="1">
        <v>14000</v>
      </c>
      <c r="P18" s="11">
        <v>5.14E-10</v>
      </c>
    </row>
    <row r="19" spans="1:16" ht="12.75">
      <c r="A19" s="1" t="s">
        <v>125</v>
      </c>
      <c r="B19" s="1">
        <v>12288</v>
      </c>
      <c r="C19" s="1">
        <v>33</v>
      </c>
      <c r="D19" s="1">
        <v>31.88</v>
      </c>
      <c r="E19" s="6">
        <f t="shared" si="0"/>
        <v>3.3939393939393936</v>
      </c>
      <c r="F19" s="1">
        <v>10</v>
      </c>
      <c r="G19" s="1">
        <v>14000</v>
      </c>
      <c r="H19" s="11">
        <v>5.14E-10</v>
      </c>
      <c r="J19" s="1" t="s">
        <v>125</v>
      </c>
      <c r="K19" s="1">
        <v>12288</v>
      </c>
      <c r="L19" s="1">
        <v>33</v>
      </c>
      <c r="M19" s="1">
        <v>10.69</v>
      </c>
      <c r="N19" s="1">
        <v>10</v>
      </c>
      <c r="O19" s="1">
        <v>14000</v>
      </c>
      <c r="P19" s="11">
        <v>5.14E-10</v>
      </c>
    </row>
    <row r="20" spans="1:16" ht="12.75">
      <c r="A20" s="1" t="s">
        <v>126</v>
      </c>
      <c r="B20" s="1">
        <v>12288</v>
      </c>
      <c r="C20" s="1">
        <v>44</v>
      </c>
      <c r="D20" s="1">
        <v>42.1</v>
      </c>
      <c r="E20" s="6">
        <f t="shared" si="0"/>
        <v>4.3181818181818095</v>
      </c>
      <c r="F20" s="1">
        <v>10</v>
      </c>
      <c r="G20" s="1">
        <v>14000</v>
      </c>
      <c r="H20" s="11">
        <v>3.19E-07</v>
      </c>
      <c r="J20" s="1" t="s">
        <v>126</v>
      </c>
      <c r="K20" s="1">
        <v>12288</v>
      </c>
      <c r="L20" s="1">
        <v>44</v>
      </c>
      <c r="M20" s="1">
        <v>14.14</v>
      </c>
      <c r="N20" s="1">
        <v>10</v>
      </c>
      <c r="O20" s="1">
        <v>14000</v>
      </c>
      <c r="P20" s="11">
        <v>3.19E-07</v>
      </c>
    </row>
    <row r="21" spans="5:16" ht="12.75">
      <c r="E21" s="45"/>
      <c r="J21" s="1"/>
      <c r="P21" s="1"/>
    </row>
    <row r="22" spans="1:16" ht="12.75">
      <c r="A22" s="1" t="s">
        <v>117</v>
      </c>
      <c r="B22" s="1">
        <v>4820</v>
      </c>
      <c r="C22" s="1">
        <v>20</v>
      </c>
      <c r="D22" s="1">
        <v>18.33</v>
      </c>
      <c r="E22" s="6">
        <f t="shared" si="0"/>
        <v>8.350000000000012</v>
      </c>
      <c r="F22" s="1">
        <v>4</v>
      </c>
      <c r="G22" s="1">
        <v>14039</v>
      </c>
      <c r="H22" s="11"/>
      <c r="J22" s="1" t="s">
        <v>117</v>
      </c>
      <c r="K22" s="1">
        <v>4820</v>
      </c>
      <c r="L22" s="1">
        <v>20</v>
      </c>
      <c r="M22" s="1">
        <v>6.12</v>
      </c>
      <c r="N22" s="1">
        <v>4</v>
      </c>
      <c r="O22" s="1">
        <v>14006</v>
      </c>
      <c r="P22" s="11"/>
    </row>
    <row r="23" spans="2:16" ht="12.75">
      <c r="B23" s="1"/>
      <c r="C23" s="1"/>
      <c r="D23" s="1"/>
      <c r="E23" s="6"/>
      <c r="F23" s="1"/>
      <c r="G23" s="1"/>
      <c r="J23" s="1"/>
      <c r="K23" s="1"/>
      <c r="L23" s="1"/>
      <c r="M23" s="1"/>
      <c r="N23" s="1"/>
      <c r="O23" s="1"/>
      <c r="P23" s="1"/>
    </row>
    <row r="24" spans="1:16" ht="12.75">
      <c r="A24" s="1" t="s">
        <v>118</v>
      </c>
      <c r="B24" s="1">
        <v>8100</v>
      </c>
      <c r="C24" s="1">
        <v>21.7</v>
      </c>
      <c r="D24" s="1">
        <v>20.13</v>
      </c>
      <c r="E24" s="6">
        <f t="shared" si="0"/>
        <v>7.235023041474653</v>
      </c>
      <c r="F24" s="1">
        <v>4</v>
      </c>
      <c r="G24" s="1">
        <v>14206</v>
      </c>
      <c r="H24" s="11">
        <v>2.32E-11</v>
      </c>
      <c r="J24" s="1" t="s">
        <v>118</v>
      </c>
      <c r="K24" s="1">
        <v>8100</v>
      </c>
      <c r="L24" s="1">
        <v>21.7</v>
      </c>
      <c r="M24" s="1">
        <v>6.76</v>
      </c>
      <c r="N24" s="1">
        <v>4</v>
      </c>
      <c r="O24" s="1">
        <v>12822</v>
      </c>
      <c r="P24" s="11">
        <v>2.32E-11</v>
      </c>
    </row>
    <row r="25" spans="2:16" ht="12.75">
      <c r="B25" s="1"/>
      <c r="C25" s="1"/>
      <c r="D25" s="1"/>
      <c r="E25" s="6"/>
      <c r="F25" s="1"/>
      <c r="G25" s="1"/>
      <c r="J25" s="1"/>
      <c r="K25" s="1"/>
      <c r="L25" s="1"/>
      <c r="M25" s="1"/>
      <c r="N25" s="1"/>
      <c r="O25" s="1"/>
      <c r="P25" s="1"/>
    </row>
    <row r="26" spans="1:16" ht="12.75">
      <c r="A26" s="1" t="s">
        <v>119</v>
      </c>
      <c r="B26" s="1">
        <v>7000</v>
      </c>
      <c r="C26" s="1">
        <v>22</v>
      </c>
      <c r="D26" s="1">
        <v>20.02</v>
      </c>
      <c r="E26" s="6">
        <f t="shared" si="0"/>
        <v>8.999999999999996</v>
      </c>
      <c r="F26" s="1">
        <v>5</v>
      </c>
      <c r="G26" s="1">
        <v>13994</v>
      </c>
      <c r="H26" s="11">
        <v>5.85E-11</v>
      </c>
      <c r="J26" s="1" t="s">
        <v>119</v>
      </c>
      <c r="K26" s="1">
        <v>7000</v>
      </c>
      <c r="L26" s="1">
        <v>22</v>
      </c>
      <c r="M26" s="1">
        <v>20.02</v>
      </c>
      <c r="N26" s="1">
        <v>5</v>
      </c>
      <c r="O26" s="1">
        <v>13784</v>
      </c>
      <c r="P26" s="11">
        <v>5.85E-11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LinCom Wireless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Sony Customer</dc:creator>
  <cp:keywords/>
  <dc:description/>
  <cp:lastModifiedBy>Carlos Rios</cp:lastModifiedBy>
  <cp:lastPrinted>2000-10-27T04:32:16Z</cp:lastPrinted>
  <dcterms:created xsi:type="dcterms:W3CDTF">2000-07-07T22:37:13Z</dcterms:created>
  <dcterms:modified xsi:type="dcterms:W3CDTF">2000-10-27T22:25:00Z</dcterms:modified>
  <cp:category/>
  <cp:version/>
  <cp:contentType/>
  <cp:contentStatus/>
</cp:coreProperties>
</file>