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7220" windowHeight="6570" tabRatio="728" activeTab="0"/>
  </bookViews>
  <sheets>
    <sheet name="Notes" sheetId="1" r:id="rId1"/>
    <sheet name="850S2000" sheetId="2" r:id="rId2"/>
    <sheet name="850S50_500" sheetId="3" r:id="rId3"/>
    <sheet name="850S50_400" sheetId="4" r:id="rId4"/>
    <sheet name="LX4_62MMF" sheetId="5" r:id="rId5"/>
    <sheet name="LX4_50MMF" sheetId="6" r:id="rId6"/>
    <sheet name="LX4_SMF" sheetId="7" r:id="rId7"/>
    <sheet name="LW4_SMF" sheetId="8" r:id="rId8"/>
    <sheet name="1300serialSMF" sheetId="9" r:id="rId9"/>
    <sheet name="1550SMF" sheetId="10" r:id="rId10"/>
  </sheets>
  <definedNames>
    <definedName name="_xlnm.Print_Area" localSheetId="8">'1300serialSMF'!$A$1:$W$52</definedName>
    <definedName name="_xlnm.Print_Area" localSheetId="9">'1550SMF'!$A$1:$W$52</definedName>
    <definedName name="_xlnm.Print_Area" localSheetId="1">'850S2000'!$A$1:$W$52</definedName>
    <definedName name="_xlnm.Print_Area" localSheetId="3">'850S50_400'!$A$1:$W$52</definedName>
    <definedName name="_xlnm.Print_Area" localSheetId="2">'850S50_500'!$A$1:$W$52</definedName>
    <definedName name="_xlnm.Print_Area" localSheetId="7">'LW4_SMF'!$A$1:$W$52</definedName>
    <definedName name="_xlnm.Print_Area" localSheetId="5">'LX4_50MMF'!$A$1:$W$52</definedName>
    <definedName name="_xlnm.Print_Area" localSheetId="4">'LX4_62MMF'!$A$1:$W$52</definedName>
    <definedName name="_xlnm.Print_Area" localSheetId="6">'LX4_SMF'!$A$1:$W$52</definedName>
    <definedName name="PRINT_AREA_MI" localSheetId="8">'1300serialSMF'!$A$5:$H$30</definedName>
    <definedName name="PRINT_AREA_MI" localSheetId="9">'1550SMF'!$A$5:$H$30</definedName>
    <definedName name="PRINT_AREA_MI" localSheetId="1">'850S2000'!$A$5:$H$30</definedName>
    <definedName name="PRINT_AREA_MI" localSheetId="3">'850S50_400'!$A$5:$H$30</definedName>
    <definedName name="PRINT_AREA_MI" localSheetId="2">'850S50_500'!$A$5:$H$30</definedName>
    <definedName name="PRINT_AREA_MI" localSheetId="7">'LW4_SMF'!$A$5:$H$30</definedName>
    <definedName name="PRINT_AREA_MI" localSheetId="5">'LX4_50MMF'!$A$5:$H$30</definedName>
    <definedName name="PRINT_AREA_MI" localSheetId="4">'LX4_62MMF'!$A$5:$H$30</definedName>
    <definedName name="PRINT_AREA_MI" localSheetId="6">'LX4_SMF'!$A$5:$H$30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<sst xmlns="http://schemas.openxmlformats.org/spreadsheetml/2006/main" count="1695" uniqueCount="234">
  <si>
    <t>62MMF</t>
  </si>
  <si>
    <t>Rev.</t>
  </si>
  <si>
    <t>Input=</t>
  </si>
  <si>
    <t>Bold</t>
  </si>
  <si>
    <t>C_att=</t>
  </si>
  <si>
    <t>Ts(10-90)=</t>
  </si>
  <si>
    <t>Uw(nm)=</t>
  </si>
  <si>
    <t>So(ps/nm^2*km)=</t>
  </si>
  <si>
    <t>RIN_Coef=</t>
  </si>
  <si>
    <t>C1=</t>
  </si>
  <si>
    <t>Rate (MBd)=</t>
  </si>
  <si>
    <t>Ts(20-80)=</t>
  </si>
  <si>
    <t>Q=</t>
  </si>
  <si>
    <t>Effective Rate (MBd)=</t>
  </si>
  <si>
    <t>Effective Rec Eye(UI)=</t>
  </si>
  <si>
    <t>DCD_DJ(ps)=</t>
  </si>
  <si>
    <t>Rec Eye(UI)=</t>
  </si>
  <si>
    <t>MN (dB)=</t>
  </si>
  <si>
    <t>Ptot -(P-C)=</t>
  </si>
  <si>
    <t>dB @ Lmax</t>
  </si>
  <si>
    <t>Stressed</t>
  </si>
  <si>
    <t>Test Source ER (dB)=</t>
  </si>
  <si>
    <t>Receiver</t>
  </si>
  <si>
    <t>Link</t>
  </si>
  <si>
    <t xml:space="preserve">Test </t>
  </si>
  <si>
    <t>(dB)</t>
  </si>
  <si>
    <t xml:space="preserve"> (dB)</t>
  </si>
  <si>
    <t>Sensitivity</t>
  </si>
  <si>
    <t>Margin</t>
  </si>
  <si>
    <t>Spec</t>
  </si>
  <si>
    <t>Source</t>
  </si>
  <si>
    <t>D2</t>
  </si>
  <si>
    <t>Pisi</t>
  </si>
  <si>
    <t>Patt</t>
  </si>
  <si>
    <t>Beta</t>
  </si>
  <si>
    <t>SDmpn</t>
  </si>
  <si>
    <t>Pmpn</t>
  </si>
  <si>
    <t>V_rin</t>
  </si>
  <si>
    <t>Prin</t>
  </si>
  <si>
    <t>Pmn</t>
  </si>
  <si>
    <t>R. Eye</t>
  </si>
  <si>
    <t>P-C</t>
  </si>
  <si>
    <t>Ptotal</t>
  </si>
  <si>
    <t>Ch IL</t>
  </si>
  <si>
    <t>LP Pen</t>
  </si>
  <si>
    <t>(dBm)</t>
  </si>
  <si>
    <t>(dB/10 m)</t>
  </si>
  <si>
    <t>50MMF</t>
  </si>
  <si>
    <t>Uc(nm)=</t>
  </si>
  <si>
    <t>Uo(nm)=</t>
  </si>
  <si>
    <t>1300nm</t>
  </si>
  <si>
    <t>SMF</t>
  </si>
  <si>
    <t>P_BLW</t>
  </si>
  <si>
    <t>P_BLW(no ISI)=</t>
  </si>
  <si>
    <t>dB</t>
  </si>
  <si>
    <t>(no units)</t>
  </si>
  <si>
    <t>closed eye</t>
  </si>
  <si>
    <t>fraction of 1/2 eye</t>
  </si>
  <si>
    <t>Power Budget P (dB)=</t>
  </si>
  <si>
    <t xml:space="preserve">         Connections C (dB)=</t>
  </si>
  <si>
    <t>Notes</t>
  </si>
  <si>
    <t>http://grouper.ieee.org/groups/802/3/10G_study/public/email_attach/All_1250.xls</t>
  </si>
  <si>
    <t>"Back-to-back" line added showing case of 2m fibre, low RIN source with rise time as specified</t>
  </si>
  <si>
    <t>Baseline wander formulae included, assuming low-overhead scrambled coding e.g. SONET or 64B66B</t>
  </si>
  <si>
    <t>T_rx</t>
  </si>
  <si>
    <t>RMS Baseline wander S.D.=</t>
  </si>
  <si>
    <t>Case:</t>
  </si>
  <si>
    <t>no units</t>
  </si>
  <si>
    <t>ISI &amp; TP4</t>
  </si>
  <si>
    <t>Pcross</t>
  </si>
  <si>
    <t>BWcd</t>
  </si>
  <si>
    <t>Te</t>
  </si>
  <si>
    <t>Tc</t>
  </si>
  <si>
    <t>(MHz)</t>
  </si>
  <si>
    <t>dB/Hz</t>
  </si>
  <si>
    <t>(km)</t>
  </si>
  <si>
    <t xml:space="preserve">L  </t>
  </si>
  <si>
    <t>Ext R</t>
  </si>
  <si>
    <t xml:space="preserve">    P_BLW is the effect of baseline wander assuming fast transmitter, receiver bandwidth as specified, no fibre</t>
  </si>
  <si>
    <t xml:space="preserve">    P_BLW(no ISI) is the effect of baseline wander assuming ample bandwidth in transmitter and receiver, no fibre</t>
  </si>
  <si>
    <t xml:space="preserve">    Suggest reduce DCD_RJ if using BLW terms in low-overhead scenario</t>
  </si>
  <si>
    <t xml:space="preserve">    The definition of "Power budget" (transmitted power - receiver sensitivity) already includes this effect.</t>
  </si>
  <si>
    <t xml:space="preserve">    Input parameter "RMS baseline wander" is like a signal/noise ratio: Standard dev/(eye height * 0.5)</t>
  </si>
  <si>
    <t>Atten=</t>
  </si>
  <si>
    <t>Base Rate=</t>
  </si>
  <si>
    <t>Rec_BW=</t>
  </si>
  <si>
    <t>ISI_TP4_Rx</t>
  </si>
  <si>
    <t>ps</t>
  </si>
  <si>
    <t>TP4 Eye Opening=</t>
  </si>
  <si>
    <t>MBd</t>
  </si>
  <si>
    <t>MHz</t>
  </si>
  <si>
    <t>ns.MHz</t>
  </si>
  <si>
    <t>Target reach</t>
  </si>
  <si>
    <t>km</t>
  </si>
  <si>
    <t>Target</t>
  </si>
  <si>
    <t>L_start=</t>
  </si>
  <si>
    <t>L_inc=</t>
  </si>
  <si>
    <t>(ps)</t>
  </si>
  <si>
    <t>Tb=</t>
  </si>
  <si>
    <t>1550nm</t>
  </si>
  <si>
    <t>Attenuation</t>
  </si>
  <si>
    <t>(for margin</t>
  </si>
  <si>
    <t>Margin at target reach calculated</t>
  </si>
  <si>
    <t>Attenuation specification at standard wavelength clarified</t>
  </si>
  <si>
    <t>"New MMF" scenario added</t>
  </si>
  <si>
    <t>*</t>
  </si>
  <si>
    <t>Interaction between ISI, TP4 eye closure, RIN, MPN and baseline wander calculated</t>
  </si>
  <si>
    <t xml:space="preserve">    Pcross is the extra penalty caused by these interactions</t>
  </si>
  <si>
    <t>See"Notes" page</t>
  </si>
  <si>
    <t>Spreadsheet by Del Hanson, David Cunningham, Piers Dawe, David Dolfi  Agilent Technologies</t>
  </si>
  <si>
    <t>Modifications over the IEEE 802.3z link model spreadsheet,</t>
  </si>
  <si>
    <t>http://grouper.ieee.org/groups/802/3/10G_study/public/email_attach/All_1250v2.xls</t>
  </si>
  <si>
    <t>GbE formula for ISI penalty replaced with self-consistent Gaussian approximation</t>
  </si>
  <si>
    <t>Bandwidth to risetime conversion factor for receiver corrected,</t>
  </si>
  <si>
    <t>ERF arg=</t>
  </si>
  <si>
    <t>ERF=</t>
  </si>
  <si>
    <t>B1=</t>
  </si>
  <si>
    <t>ERF arg</t>
  </si>
  <si>
    <r>
      <t>h</t>
    </r>
    <r>
      <rPr>
        <vertAlign val="subscript"/>
        <sz val="12"/>
        <color indexed="23"/>
        <rFont val="Arial"/>
        <family val="2"/>
      </rPr>
      <t>eye</t>
    </r>
    <r>
      <rPr>
        <sz val="12"/>
        <color indexed="23"/>
        <rFont val="Arial"/>
        <family val="2"/>
      </rPr>
      <t>(0)</t>
    </r>
  </si>
  <si>
    <t>Erf arg 1</t>
  </si>
  <si>
    <t>Erf arg 2</t>
  </si>
  <si>
    <t>at target L)</t>
  </si>
  <si>
    <t>graph)</t>
  </si>
  <si>
    <t>(for</t>
  </si>
  <si>
    <t xml:space="preserve">62 MMF dispersion S0 at worst lambda0 corrected from 0.11 to 0.093 </t>
  </si>
  <si>
    <t>GbE formula for receiver eye penalty replaced with self-consistent Gaussian approximation</t>
  </si>
  <si>
    <t>Based on updated Gigabit Ethernet Spreadsheet as detailed below</t>
  </si>
  <si>
    <t>Corrections to February 1550 nm page:</t>
  </si>
  <si>
    <t>Receiver (minimum) bandwidth corrected from 9500 to 7725 MHz</t>
  </si>
  <si>
    <t>1300nm serial</t>
  </si>
  <si>
    <t>This file:</t>
  </si>
  <si>
    <t>Modifications over IEEE 802.3ae link model spreadsheet of March 2000,</t>
  </si>
  <si>
    <t>1300nm WWDM</t>
  </si>
  <si>
    <t>Attenuation figure adjusted to give 0.3 dB/km at 1565 nm following G.957 (1995)</t>
  </si>
  <si>
    <t>Unallocated margin held high to allow for 1 dB of unknown.</t>
  </si>
  <si>
    <t>Implied receiver sensitivity is:</t>
  </si>
  <si>
    <t xml:space="preserve">Total insertion loss of </t>
  </si>
  <si>
    <t>dB to be compared with ITU's 11 dB</t>
  </si>
  <si>
    <t>Receiver bandwidth to risetime conversion factor shown explicitly</t>
  </si>
  <si>
    <t>Column S, "P_C" replaced by single box, as not length dependent</t>
  </si>
  <si>
    <t>&lt;- This revision number refers to the PMD numbers</t>
  </si>
  <si>
    <t>c_rx</t>
  </si>
  <si>
    <t>To be filed at:</t>
  </si>
  <si>
    <t>MHz*km</t>
  </si>
  <si>
    <t>BWm=</t>
  </si>
  <si>
    <t>Eff. BWm=</t>
  </si>
  <si>
    <t>effBWm</t>
  </si>
  <si>
    <t>Modifications over version 2.3.4:</t>
  </si>
  <si>
    <t>Extra input box E2, "PolMD DGDmax" to calculate polarisation mode dispersion for single mode fibre</t>
  </si>
  <si>
    <t>To use, enter the maximum DGD (differential group delay) at the target reach</t>
  </si>
  <si>
    <t>In SMF case, Effective fibre bandwidth Eff.BWm is taken from the above, overriding BWm input</t>
  </si>
  <si>
    <t>Fibre bandwidth assumed to be to -6dBe or -3 dBo point</t>
  </si>
  <si>
    <t>Spec extinction ratio penalty</t>
  </si>
  <si>
    <t>linear units</t>
  </si>
  <si>
    <t xml:space="preserve">Spec extinction ratio </t>
  </si>
  <si>
    <t>dBo</t>
  </si>
  <si>
    <t>RIN(OMA) now distinguished from RIN, correcting an oversight</t>
  </si>
  <si>
    <t>penalty</t>
  </si>
  <si>
    <t>ER pen.</t>
  </si>
  <si>
    <t>Effect of RIN is probably still in error as integrated over {Tx and fibre} bandwidth Tc not fibre bandwidth Te alone</t>
  </si>
  <si>
    <t>FAQ and notes for use</t>
  </si>
  <si>
    <t>Change history</t>
  </si>
  <si>
    <t>If you see #NAME? in many cells, check you have the Analysis ToolPak loaded: Tools &gt; Add-Ins…</t>
  </si>
  <si>
    <t>Net ExR pen Per</t>
  </si>
  <si>
    <t>uW min.OMA</t>
  </si>
  <si>
    <t>uW</t>
  </si>
  <si>
    <t>Worst ave launch pwr</t>
  </si>
  <si>
    <t>This spreadsheet believed to work in Excel 97 and Excel 2000, maybe can be downsaved to Excel 4 with slight loss of formatting of charts</t>
  </si>
  <si>
    <t>"Stressed receiver sensitivity" measurement assumed to be carried out at "Test source ER"</t>
  </si>
  <si>
    <t>Columns P, "Per", Y, "penalty and Z, "penalty" no longer used.  Equivalent values in boxes Z5, Z1, Z4 are used instead</t>
  </si>
  <si>
    <t xml:space="preserve">  "Per", or "Net ExR pen" is used in Stressed receiver sensitivity column but no longer in Ptotal</t>
  </si>
  <si>
    <t>Worst extinction ratio now calculated from TX OMA min and Pave max</t>
  </si>
  <si>
    <t>Note the necessary RIN values are now much more demanding</t>
  </si>
  <si>
    <t>Polarisation Mode Dispersion</t>
  </si>
  <si>
    <t>OMA</t>
  </si>
  <si>
    <t>(Per)</t>
  </si>
  <si>
    <t>necessary to give approx. 2 dB "Link penalty" in ITU terms.</t>
  </si>
  <si>
    <t xml:space="preserve">dBm at </t>
  </si>
  <si>
    <t>dB extinction ratio</t>
  </si>
  <si>
    <t>Fictional Tx spectral width represents what appears to be</t>
  </si>
  <si>
    <t>Changes over 3pmd046.xls of 6 July 2000:</t>
  </si>
  <si>
    <t>1550 nm powers raised by 2 dB</t>
  </si>
  <si>
    <t>OMA definitions of Tx power and RIN added</t>
  </si>
  <si>
    <t>"Worst" dispersion is for dispersion min. at shortest wavelength</t>
  </si>
  <si>
    <t>Modifications over version 2.3.6:</t>
  </si>
  <si>
    <t>1.0.0</t>
  </si>
  <si>
    <t>850nm</t>
  </si>
  <si>
    <t>MMF</t>
  </si>
  <si>
    <t>Changes over 3pmd048PMD_OMA.xls of 13 Dec. 2000:</t>
  </si>
  <si>
    <t>850 serial sheets added</t>
  </si>
  <si>
    <t>This version prepared by Piers Dawe, 850 input from Jack Jewell</t>
  </si>
  <si>
    <t>To switch polarisation Mode Dispersion off, change box O1 from "SMF"</t>
  </si>
  <si>
    <t>ISI is Inter Symbol Interference</t>
  </si>
  <si>
    <t>See</t>
  </si>
  <si>
    <t>http://www.ieee802.org/3/ae/public/jul00/dawe_1_0700.pdf</t>
  </si>
  <si>
    <t>for references</t>
  </si>
  <si>
    <t>This spreadsheet aims to represent the optoelectronics in 802.3ae draft 2.0</t>
  </si>
  <si>
    <t>MN, Pmn are both Modal Noise penalty</t>
  </si>
  <si>
    <t>MPN is mode partition noise</t>
  </si>
  <si>
    <t>Example LW4 (1300nm WWDM, WAN PHY) sheet added</t>
  </si>
  <si>
    <t>To see the former nominal extinction ratios (6.5,7,6,8dB), change the Tx max powers -1,-2.5,1,4 in boxes J9 to Tx min: -5.5,-7.5,-4,0</t>
  </si>
  <si>
    <t>To revert to the previous spreadsheet for 1300nm cases, make the changes on the following two lines</t>
  </si>
  <si>
    <t>To switch Polarisation Mode Dispersion off, change box O1 from "SMF"</t>
  </si>
  <si>
    <t>PMD accounted for</t>
  </si>
  <si>
    <t>Pwr.Bud.-Conn.Loss</t>
  </si>
  <si>
    <t>Pwr.Bud.-Conn.Loss means Power Budget - Connector Loss</t>
  </si>
  <si>
    <t>BLW means baseline wander</t>
  </si>
  <si>
    <t>Spec ext. ratio penalty</t>
  </si>
  <si>
    <t>Test src ERpen.</t>
  </si>
  <si>
    <t>k is dimensionless</t>
  </si>
  <si>
    <t>2.4.1</t>
  </si>
  <si>
    <t>Uw I believe is an RMS spectral half-width</t>
  </si>
  <si>
    <t>Uc is the transmitter wavelength and Uo is the fibre dispersion minimum</t>
  </si>
  <si>
    <t>ps/(nm.km)</t>
  </si>
  <si>
    <t>D1=</t>
  </si>
  <si>
    <t>D1.L</t>
  </si>
  <si>
    <t>D2.L</t>
  </si>
  <si>
    <t>(ps/nm)</t>
  </si>
  <si>
    <t>Dispersion columns B ("D1", ps/(nm.km) ) and C ("D2", ps/(nm.km) ) replaced by D1.L (ps/nm) and D2.L (ps/nm)</t>
  </si>
  <si>
    <t>Quantity D1 is now held in box B3 and D2 in box Z4.  This change is purely presentational, to show channel dispersion</t>
  </si>
  <si>
    <t>"R. Eye" and TP4 eye opening" refer to a decision time window presently 0.25 UI long, rather than a decision instant</t>
  </si>
  <si>
    <t>For typical high extinction measurements the difference would have been within the range of measured values</t>
  </si>
  <si>
    <t>10GEPBud2_4_1.xls</t>
  </si>
  <si>
    <t>Min. ER=</t>
  </si>
  <si>
    <t>RIN(OMA)=</t>
  </si>
  <si>
    <t>RIN at MinER</t>
  </si>
  <si>
    <t>MPN k(OMA)</t>
  </si>
  <si>
    <t>MPN k factor now labelled MPN k(OMA) to make clear that it represents term related to signal/noise not carrier/noise in this model</t>
  </si>
  <si>
    <t>MPN k(OMA) is the "k factor" for MPN measured "on an OMA basis" i.e. with regard to the modulated light not the average light level</t>
  </si>
  <si>
    <t>of</t>
  </si>
  <si>
    <t>&lt;- This rev. number for model &amp; spreadsheet structure &amp; presentation</t>
  </si>
  <si>
    <t>http://www.ieee802.org/3/ae/public/email_attach/10GEPBud2_4_1.xls</t>
  </si>
  <si>
    <t>Model/format rev</t>
  </si>
  <si>
    <t>Max ave.Tx Pwr (dBm)=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</si>
</sst>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0.000"/>
    <numFmt numFmtId="180" formatCode="0.000E+00"/>
    <numFmt numFmtId="181" formatCode="0.0E+00"/>
    <numFmt numFmtId="182" formatCode="#.0##"/>
    <numFmt numFmtId="183" formatCode="###0.0##"/>
    <numFmt numFmtId="184" formatCode="0.E+00"/>
    <numFmt numFmtId="185" formatCode="0.##"/>
    <numFmt numFmtId="186" formatCode="0.00#"/>
  </numFmts>
  <fonts count="31">
    <font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1"/>
      <color indexed="8"/>
      <name val="Arial"/>
      <family val="0"/>
    </font>
    <font>
      <b/>
      <sz val="11"/>
      <color indexed="10"/>
      <name val="Arial"/>
      <family val="0"/>
    </font>
    <font>
      <b/>
      <sz val="11"/>
      <color indexed="8"/>
      <name val="Arial"/>
      <family val="0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55"/>
      <name val="Arial"/>
      <family val="2"/>
    </font>
    <font>
      <sz val="12"/>
      <color indexed="55"/>
      <name val="Arial"/>
      <family val="2"/>
    </font>
    <font>
      <sz val="11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vertAlign val="subscript"/>
      <sz val="12"/>
      <color indexed="23"/>
      <name val="Arial"/>
      <family val="2"/>
    </font>
    <font>
      <b/>
      <sz val="12"/>
      <color indexed="55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25" applyFont="1" applyAlignment="1">
      <alignment/>
      <protection/>
    </xf>
    <xf numFmtId="0" fontId="3" fillId="0" borderId="0" xfId="25" applyFont="1" applyAlignment="1">
      <alignment horizontal="right"/>
      <protection/>
    </xf>
    <xf numFmtId="2" fontId="3" fillId="0" borderId="0" xfId="25" applyNumberFormat="1" applyFont="1" applyAlignment="1">
      <alignment horizontal="center"/>
      <protection/>
    </xf>
    <xf numFmtId="2" fontId="3" fillId="0" borderId="0" xfId="25" applyNumberFormat="1" applyFont="1" applyAlignment="1">
      <alignment/>
      <protection/>
    </xf>
    <xf numFmtId="0" fontId="1" fillId="0" borderId="0" xfId="25" applyNumberFormat="1" applyFont="1" applyAlignment="1">
      <alignment/>
      <protection locked="0"/>
    </xf>
    <xf numFmtId="0" fontId="3" fillId="0" borderId="0" xfId="25" applyFont="1" applyAlignment="1">
      <alignment horizontal="center"/>
      <protection/>
    </xf>
    <xf numFmtId="0" fontId="4" fillId="0" borderId="0" xfId="25" applyNumberFormat="1" applyFont="1" applyAlignment="1">
      <alignment/>
      <protection locked="0"/>
    </xf>
    <xf numFmtId="2" fontId="3" fillId="0" borderId="0" xfId="25" applyNumberFormat="1" applyFont="1" applyAlignment="1">
      <alignment horizontal="right"/>
      <protection/>
    </xf>
    <xf numFmtId="0" fontId="5" fillId="0" borderId="0" xfId="25" applyFont="1" applyAlignment="1">
      <alignment/>
      <protection/>
    </xf>
    <xf numFmtId="0" fontId="1" fillId="0" borderId="0" xfId="25" applyNumberFormat="1" applyFont="1" applyAlignment="1">
      <alignment horizontal="center"/>
      <protection locked="0"/>
    </xf>
    <xf numFmtId="1" fontId="3" fillId="0" borderId="0" xfId="25" applyNumberFormat="1" applyFont="1" applyAlignment="1">
      <alignment horizontal="center"/>
      <protection/>
    </xf>
    <xf numFmtId="0" fontId="1" fillId="0" borderId="0" xfId="25" applyNumberFormat="1" applyAlignment="1">
      <alignment horizontal="center"/>
      <protection locked="0"/>
    </xf>
    <xf numFmtId="0" fontId="1" fillId="0" borderId="0" xfId="25" applyNumberFormat="1">
      <alignment/>
      <protection/>
    </xf>
    <xf numFmtId="0" fontId="1" fillId="0" borderId="0" xfId="25" applyNumberFormat="1" applyAlignment="1">
      <alignment horizontal="center"/>
      <protection/>
    </xf>
    <xf numFmtId="0" fontId="3" fillId="0" borderId="0" xfId="25" applyNumberFormat="1" applyFont="1" applyAlignment="1">
      <alignment/>
      <protection/>
    </xf>
    <xf numFmtId="1" fontId="5" fillId="0" borderId="0" xfId="25" applyNumberFormat="1" applyFont="1" applyAlignment="1">
      <alignment horizontal="center"/>
      <protection/>
    </xf>
    <xf numFmtId="1" fontId="3" fillId="0" borderId="0" xfId="25" applyNumberFormat="1" applyFont="1" applyAlignment="1">
      <alignment/>
      <protection/>
    </xf>
    <xf numFmtId="2" fontId="8" fillId="0" borderId="0" xfId="25" applyNumberFormat="1" applyFont="1" applyAlignment="1">
      <alignment/>
      <protection/>
    </xf>
    <xf numFmtId="0" fontId="8" fillId="0" borderId="0" xfId="25" applyFont="1" applyAlignment="1">
      <alignment horizontal="center"/>
      <protection/>
    </xf>
    <xf numFmtId="0" fontId="11" fillId="0" borderId="0" xfId="25" applyNumberFormat="1" applyFont="1" applyAlignment="1">
      <alignment/>
      <protection locked="0"/>
    </xf>
    <xf numFmtId="2" fontId="7" fillId="0" borderId="0" xfId="25" applyNumberFormat="1" applyFont="1" applyAlignment="1">
      <alignment horizontal="right"/>
      <protection/>
    </xf>
    <xf numFmtId="0" fontId="7" fillId="0" borderId="0" xfId="25" applyFont="1" applyAlignment="1">
      <alignment/>
      <protection/>
    </xf>
    <xf numFmtId="2" fontId="7" fillId="0" borderId="0" xfId="25" applyNumberFormat="1" applyFont="1" applyAlignment="1">
      <alignment/>
      <protection/>
    </xf>
    <xf numFmtId="0" fontId="7" fillId="0" borderId="0" xfId="25" applyFont="1" applyAlignment="1">
      <alignment horizontal="center"/>
      <protection/>
    </xf>
    <xf numFmtId="2" fontId="7" fillId="0" borderId="0" xfId="25" applyNumberFormat="1" applyFont="1" applyAlignment="1">
      <alignment horizontal="center"/>
      <protection/>
    </xf>
    <xf numFmtId="0" fontId="2" fillId="0" borderId="0" xfId="25" applyNumberFormat="1" applyFont="1" applyAlignment="1">
      <alignment/>
      <protection locked="0"/>
    </xf>
    <xf numFmtId="2" fontId="8" fillId="0" borderId="0" xfId="25" applyNumberFormat="1" applyFont="1" applyAlignment="1">
      <alignment horizontal="center"/>
      <protection/>
    </xf>
    <xf numFmtId="0" fontId="7" fillId="0" borderId="0" xfId="25" applyFont="1" applyAlignment="1">
      <alignment horizontal="right"/>
      <protection/>
    </xf>
    <xf numFmtId="0" fontId="7" fillId="0" borderId="0" xfId="25" applyFont="1" applyAlignment="1">
      <alignment horizontal="left"/>
      <protection/>
    </xf>
    <xf numFmtId="0" fontId="9" fillId="0" borderId="0" xfId="25" applyNumberFormat="1" applyFont="1" applyAlignment="1">
      <alignment/>
      <protection locked="0"/>
    </xf>
    <xf numFmtId="0" fontId="2" fillId="0" borderId="0" xfId="25" applyNumberFormat="1" applyFont="1" applyAlignment="1">
      <alignment horizontal="center"/>
      <protection locked="0"/>
    </xf>
    <xf numFmtId="0" fontId="3" fillId="0" borderId="1" xfId="25" applyFont="1" applyBorder="1" applyAlignment="1">
      <alignment/>
      <protection/>
    </xf>
    <xf numFmtId="0" fontId="1" fillId="0" borderId="1" xfId="25" applyNumberFormat="1" applyFont="1" applyBorder="1" applyAlignment="1">
      <alignment/>
      <protection locked="0"/>
    </xf>
    <xf numFmtId="0" fontId="3" fillId="0" borderId="1" xfId="25" applyFont="1" applyBorder="1" applyAlignment="1">
      <alignment horizontal="right"/>
      <protection/>
    </xf>
    <xf numFmtId="0" fontId="16" fillId="0" borderId="1" xfId="25" applyNumberFormat="1" applyFont="1" applyBorder="1" applyAlignment="1">
      <alignment/>
      <protection locked="0"/>
    </xf>
    <xf numFmtId="1" fontId="3" fillId="0" borderId="1" xfId="25" applyNumberFormat="1" applyFont="1" applyBorder="1" applyAlignment="1">
      <alignment horizontal="left"/>
      <protection/>
    </xf>
    <xf numFmtId="1" fontId="3" fillId="0" borderId="1" xfId="25" applyNumberFormat="1" applyFont="1" applyBorder="1" applyAlignment="1">
      <alignment horizontal="center"/>
      <protection/>
    </xf>
    <xf numFmtId="1" fontId="3" fillId="0" borderId="1" xfId="25" applyNumberFormat="1" applyFont="1" applyBorder="1" applyAlignment="1">
      <alignment horizontal="right"/>
      <protection/>
    </xf>
    <xf numFmtId="2" fontId="7" fillId="2" borderId="1" xfId="25" applyNumberFormat="1" applyFont="1" applyFill="1" applyBorder="1" applyAlignment="1">
      <alignment/>
      <protection/>
    </xf>
    <xf numFmtId="2" fontId="7" fillId="0" borderId="1" xfId="25" applyNumberFormat="1" applyFont="1" applyBorder="1" applyAlignment="1">
      <alignment/>
      <protection/>
    </xf>
    <xf numFmtId="0" fontId="1" fillId="0" borderId="1" xfId="25" applyNumberFormat="1" applyFont="1" applyBorder="1" applyAlignment="1">
      <alignment horizontal="center"/>
      <protection locked="0"/>
    </xf>
    <xf numFmtId="0" fontId="3" fillId="0" borderId="1" xfId="25" applyFont="1" applyBorder="1" applyAlignment="1">
      <alignment horizontal="center"/>
      <protection/>
    </xf>
    <xf numFmtId="178" fontId="3" fillId="0" borderId="1" xfId="25" applyNumberFormat="1" applyFont="1" applyBorder="1" applyAlignment="1">
      <alignment horizontal="center"/>
      <protection/>
    </xf>
    <xf numFmtId="2" fontId="3" fillId="0" borderId="1" xfId="25" applyNumberFormat="1" applyFont="1" applyBorder="1" applyAlignment="1">
      <alignment horizontal="right"/>
      <protection/>
    </xf>
    <xf numFmtId="2" fontId="3" fillId="0" borderId="1" xfId="25" applyNumberFormat="1" applyFont="1" applyBorder="1" applyAlignment="1">
      <alignment horizontal="right"/>
      <protection/>
    </xf>
    <xf numFmtId="2" fontId="3" fillId="0" borderId="1" xfId="25" applyNumberFormat="1" applyFont="1" applyBorder="1" applyAlignment="1">
      <alignment/>
      <protection/>
    </xf>
    <xf numFmtId="2" fontId="3" fillId="0" borderId="1" xfId="25" applyNumberFormat="1" applyFont="1" applyBorder="1" applyAlignment="1">
      <alignment horizontal="center"/>
      <protection/>
    </xf>
    <xf numFmtId="0" fontId="1" fillId="0" borderId="1" xfId="25" applyBorder="1" applyAlignment="1">
      <alignment horizontal="center"/>
      <protection/>
    </xf>
    <xf numFmtId="2" fontId="7" fillId="0" borderId="0" xfId="25" applyNumberFormat="1" applyFont="1" applyBorder="1" applyAlignment="1">
      <alignment/>
      <protection/>
    </xf>
    <xf numFmtId="2" fontId="12" fillId="0" borderId="0" xfId="25" applyNumberFormat="1" applyFont="1" applyBorder="1" applyAlignment="1">
      <alignment/>
      <protection/>
    </xf>
    <xf numFmtId="0" fontId="7" fillId="0" borderId="0" xfId="25" applyFont="1" applyBorder="1" applyAlignment="1">
      <alignment/>
      <protection/>
    </xf>
    <xf numFmtId="0" fontId="7" fillId="0" borderId="0" xfId="25" applyFont="1" applyBorder="1" applyAlignment="1">
      <alignment horizontal="center"/>
      <protection/>
    </xf>
    <xf numFmtId="2" fontId="15" fillId="0" borderId="0" xfId="25" applyNumberFormat="1" applyFont="1" applyBorder="1" applyAlignment="1">
      <alignment/>
      <protection/>
    </xf>
    <xf numFmtId="2" fontId="13" fillId="0" borderId="0" xfId="25" applyNumberFormat="1" applyFont="1" applyBorder="1" applyAlignment="1">
      <alignment/>
      <protection/>
    </xf>
    <xf numFmtId="2" fontId="3" fillId="0" borderId="0" xfId="25" applyNumberFormat="1" applyFont="1" applyFill="1" applyAlignment="1">
      <alignment/>
      <protection/>
    </xf>
    <xf numFmtId="0" fontId="1" fillId="0" borderId="0" xfId="25" applyNumberFormat="1" applyFont="1" applyFill="1" applyAlignment="1">
      <alignment/>
      <protection locked="0"/>
    </xf>
    <xf numFmtId="1" fontId="3" fillId="0" borderId="1" xfId="25" applyNumberFormat="1" applyFont="1" applyFill="1" applyBorder="1" applyAlignment="1">
      <alignment horizontal="center"/>
      <protection/>
    </xf>
    <xf numFmtId="2" fontId="3" fillId="0" borderId="1" xfId="25" applyNumberFormat="1" applyFont="1" applyFill="1" applyBorder="1" applyAlignment="1">
      <alignment horizontal="center"/>
      <protection/>
    </xf>
    <xf numFmtId="2" fontId="7" fillId="0" borderId="0" xfId="25" applyNumberFormat="1" applyFont="1" applyFill="1" applyAlignment="1">
      <alignment/>
      <protection/>
    </xf>
    <xf numFmtId="0" fontId="3" fillId="0" borderId="0" xfId="25" applyFont="1" applyFill="1" applyAlignment="1">
      <alignment/>
      <protection/>
    </xf>
    <xf numFmtId="0" fontId="1" fillId="0" borderId="0" xfId="25" applyNumberFormat="1" applyFont="1" applyBorder="1" applyAlignment="1">
      <alignment/>
      <protection locked="0"/>
    </xf>
    <xf numFmtId="0" fontId="3" fillId="0" borderId="0" xfId="25" applyFont="1" applyBorder="1" applyAlignment="1">
      <alignment horizontal="right"/>
      <protection/>
    </xf>
    <xf numFmtId="2" fontId="7" fillId="2" borderId="0" xfId="25" applyNumberFormat="1" applyFont="1" applyFill="1" applyBorder="1" applyAlignment="1">
      <alignment/>
      <protection/>
    </xf>
    <xf numFmtId="2" fontId="3" fillId="0" borderId="0" xfId="25" applyNumberFormat="1" applyFont="1" applyBorder="1" applyAlignment="1">
      <alignment horizontal="right"/>
      <protection/>
    </xf>
    <xf numFmtId="2" fontId="3" fillId="0" borderId="0" xfId="25" applyNumberFormat="1" applyFont="1" applyBorder="1" applyAlignment="1">
      <alignment horizontal="right"/>
      <protection/>
    </xf>
    <xf numFmtId="0" fontId="3" fillId="0" borderId="0" xfId="25" applyFont="1" applyBorder="1" applyAlignment="1">
      <alignment horizontal="center"/>
      <protection/>
    </xf>
    <xf numFmtId="2" fontId="3" fillId="0" borderId="0" xfId="25" applyNumberFormat="1" applyFont="1" applyBorder="1" applyAlignment="1">
      <alignment/>
      <protection/>
    </xf>
    <xf numFmtId="2" fontId="3" fillId="0" borderId="0" xfId="25" applyNumberFormat="1" applyFont="1" applyBorder="1" applyAlignment="1">
      <alignment horizontal="center"/>
      <protection/>
    </xf>
    <xf numFmtId="2" fontId="3" fillId="0" borderId="0" xfId="25" applyNumberFormat="1" applyFont="1" applyFill="1" applyBorder="1" applyAlignment="1">
      <alignment horizontal="center"/>
      <protection/>
    </xf>
    <xf numFmtId="2" fontId="3" fillId="0" borderId="0" xfId="25" applyNumberFormat="1" applyFont="1" applyBorder="1" applyAlignment="1">
      <alignment/>
      <protection/>
    </xf>
    <xf numFmtId="0" fontId="1" fillId="0" borderId="0" xfId="25" applyBorder="1" applyAlignment="1">
      <alignment horizontal="center"/>
      <protection/>
    </xf>
    <xf numFmtId="178" fontId="3" fillId="0" borderId="0" xfId="25" applyNumberFormat="1" applyFont="1" applyBorder="1" applyAlignment="1">
      <alignment horizontal="center"/>
      <protection/>
    </xf>
    <xf numFmtId="0" fontId="3" fillId="0" borderId="0" xfId="25" applyFont="1" applyBorder="1" applyAlignment="1">
      <alignment/>
      <protection/>
    </xf>
    <xf numFmtId="2" fontId="8" fillId="0" borderId="1" xfId="25" applyNumberFormat="1" applyFont="1" applyBorder="1" applyAlignment="1">
      <alignment/>
      <protection/>
    </xf>
    <xf numFmtId="2" fontId="9" fillId="0" borderId="1" xfId="25" applyNumberFormat="1" applyFont="1" applyBorder="1" applyAlignment="1">
      <alignment/>
      <protection/>
    </xf>
    <xf numFmtId="0" fontId="8" fillId="0" borderId="1" xfId="25" applyFont="1" applyBorder="1" applyAlignment="1">
      <alignment horizontal="center"/>
      <protection/>
    </xf>
    <xf numFmtId="0" fontId="11" fillId="0" borderId="1" xfId="25" applyNumberFormat="1" applyFont="1" applyBorder="1" applyAlignment="1">
      <alignment horizontal="center"/>
      <protection/>
    </xf>
    <xf numFmtId="0" fontId="11" fillId="0" borderId="1" xfId="25" applyNumberFormat="1" applyFont="1" applyBorder="1" applyAlignment="1">
      <alignment/>
      <protection locked="0"/>
    </xf>
    <xf numFmtId="0" fontId="8" fillId="0" borderId="0" xfId="25" applyFont="1" applyAlignment="1">
      <alignment horizontal="left"/>
      <protection/>
    </xf>
    <xf numFmtId="0" fontId="1" fillId="0" borderId="0" xfId="25" applyNumberFormat="1" applyFont="1" applyFill="1" applyBorder="1" applyAlignment="1">
      <alignment/>
      <protection locked="0"/>
    </xf>
    <xf numFmtId="0" fontId="5" fillId="0" borderId="0" xfId="25" applyFont="1" applyBorder="1" applyAlignment="1">
      <alignment/>
      <protection/>
    </xf>
    <xf numFmtId="0" fontId="3" fillId="0" borderId="0" xfId="25" applyFont="1" applyFill="1" applyBorder="1" applyAlignment="1">
      <alignment horizontal="center"/>
      <protection/>
    </xf>
    <xf numFmtId="2" fontId="3" fillId="0" borderId="0" xfId="25" applyNumberFormat="1" applyFont="1" applyFill="1" applyBorder="1" applyAlignment="1">
      <alignment/>
      <protection/>
    </xf>
    <xf numFmtId="0" fontId="5" fillId="0" borderId="0" xfId="25" applyNumberFormat="1" applyFont="1" applyBorder="1" applyAlignment="1">
      <alignment/>
      <protection/>
    </xf>
    <xf numFmtId="0" fontId="3" fillId="0" borderId="0" xfId="25" applyFont="1" applyFill="1" applyBorder="1" applyAlignment="1">
      <alignment horizontal="left"/>
      <protection/>
    </xf>
    <xf numFmtId="2" fontId="5" fillId="0" borderId="0" xfId="25" applyNumberFormat="1" applyFont="1" applyBorder="1" applyAlignment="1">
      <alignment/>
      <protection/>
    </xf>
    <xf numFmtId="1" fontId="5" fillId="0" borderId="0" xfId="25" applyNumberFormat="1" applyFont="1" applyBorder="1" applyAlignment="1">
      <alignment/>
      <protection/>
    </xf>
    <xf numFmtId="1" fontId="6" fillId="0" borderId="0" xfId="25" applyNumberFormat="1" applyFont="1" applyBorder="1" applyAlignment="1">
      <alignment/>
      <protection/>
    </xf>
    <xf numFmtId="1" fontId="7" fillId="2" borderId="0" xfId="25" applyNumberFormat="1" applyFont="1" applyFill="1" applyBorder="1" applyAlignment="1">
      <alignment/>
      <protection/>
    </xf>
    <xf numFmtId="2" fontId="6" fillId="0" borderId="0" xfId="25" applyNumberFormat="1" applyFont="1" applyBorder="1" applyAlignment="1">
      <alignment/>
      <protection/>
    </xf>
    <xf numFmtId="0" fontId="1" fillId="0" borderId="0" xfId="25" applyNumberFormat="1" applyFont="1" applyBorder="1" applyAlignment="1">
      <alignment horizontal="right"/>
      <protection locked="0"/>
    </xf>
    <xf numFmtId="0" fontId="1" fillId="0" borderId="0" xfId="25" applyNumberFormat="1" applyFont="1" applyBorder="1" applyAlignment="1">
      <alignment/>
      <protection locked="0"/>
    </xf>
    <xf numFmtId="0" fontId="3" fillId="0" borderId="2" xfId="25" applyFont="1" applyBorder="1" applyAlignment="1">
      <alignment horizontal="center"/>
      <protection/>
    </xf>
    <xf numFmtId="0" fontId="3" fillId="0" borderId="3" xfId="25" applyFont="1" applyBorder="1" applyAlignment="1">
      <alignment horizontal="center"/>
      <protection/>
    </xf>
    <xf numFmtId="2" fontId="8" fillId="0" borderId="0" xfId="25" applyNumberFormat="1" applyFont="1" applyBorder="1" applyAlignment="1">
      <alignment/>
      <protection/>
    </xf>
    <xf numFmtId="2" fontId="14" fillId="0" borderId="0" xfId="25" applyNumberFormat="1" applyFont="1" applyBorder="1" applyAlignment="1">
      <alignment/>
      <protection/>
    </xf>
    <xf numFmtId="2" fontId="2" fillId="0" borderId="2" xfId="25" applyNumberFormat="1" applyFont="1" applyBorder="1" applyAlignment="1">
      <alignment horizontal="center"/>
      <protection/>
    </xf>
    <xf numFmtId="2" fontId="9" fillId="0" borderId="0" xfId="25" applyNumberFormat="1" applyFont="1" applyBorder="1" applyAlignment="1">
      <alignment/>
      <protection/>
    </xf>
    <xf numFmtId="0" fontId="8" fillId="0" borderId="0" xfId="25" applyFont="1" applyBorder="1" applyAlignment="1">
      <alignment horizontal="center"/>
      <protection/>
    </xf>
    <xf numFmtId="2" fontId="10" fillId="0" borderId="0" xfId="25" applyNumberFormat="1" applyFont="1" applyBorder="1" applyAlignment="1">
      <alignment/>
      <protection/>
    </xf>
    <xf numFmtId="2" fontId="11" fillId="0" borderId="2" xfId="25" applyNumberFormat="1" applyFont="1" applyBorder="1" applyAlignment="1">
      <alignment horizontal="center"/>
      <protection/>
    </xf>
    <xf numFmtId="0" fontId="3" fillId="0" borderId="0" xfId="25" applyFont="1" applyBorder="1" applyAlignment="1">
      <alignment horizontal="left"/>
      <protection/>
    </xf>
    <xf numFmtId="0" fontId="3" fillId="0" borderId="4" xfId="25" applyFont="1" applyBorder="1" applyAlignment="1">
      <alignment horizontal="center"/>
      <protection/>
    </xf>
    <xf numFmtId="1" fontId="8" fillId="0" borderId="0" xfId="25" applyNumberFormat="1" applyFont="1" applyBorder="1" applyAlignment="1">
      <alignment horizontal="center"/>
      <protection/>
    </xf>
    <xf numFmtId="1" fontId="7" fillId="0" borderId="0" xfId="25" applyNumberFormat="1" applyFont="1" applyBorder="1" applyAlignment="1">
      <alignment horizontal="center"/>
      <protection/>
    </xf>
    <xf numFmtId="1" fontId="8" fillId="0" borderId="1" xfId="25" applyNumberFormat="1" applyFont="1" applyBorder="1" applyAlignment="1">
      <alignment horizontal="center"/>
      <protection/>
    </xf>
    <xf numFmtId="2" fontId="7" fillId="0" borderId="5" xfId="25" applyNumberFormat="1" applyFont="1" applyBorder="1" applyAlignment="1">
      <alignment/>
      <protection/>
    </xf>
    <xf numFmtId="181" fontId="7" fillId="0" borderId="5" xfId="25" applyNumberFormat="1" applyFont="1" applyBorder="1" applyAlignment="1">
      <alignment horizontal="center"/>
      <protection/>
    </xf>
    <xf numFmtId="2" fontId="12" fillId="0" borderId="5" xfId="25" applyNumberFormat="1" applyFont="1" applyBorder="1" applyAlignment="1">
      <alignment/>
      <protection/>
    </xf>
    <xf numFmtId="0" fontId="7" fillId="0" borderId="5" xfId="25" applyFont="1" applyBorder="1" applyAlignment="1">
      <alignment/>
      <protection/>
    </xf>
    <xf numFmtId="0" fontId="7" fillId="0" borderId="5" xfId="25" applyFont="1" applyBorder="1" applyAlignment="1">
      <alignment horizontal="center"/>
      <protection/>
    </xf>
    <xf numFmtId="2" fontId="13" fillId="0" borderId="5" xfId="25" applyNumberFormat="1" applyFont="1" applyBorder="1" applyAlignment="1">
      <alignment/>
      <protection/>
    </xf>
    <xf numFmtId="2" fontId="2" fillId="0" borderId="6" xfId="25" applyNumberFormat="1" applyFont="1" applyBorder="1" applyAlignment="1">
      <alignment horizontal="center"/>
      <protection/>
    </xf>
    <xf numFmtId="0" fontId="2" fillId="0" borderId="5" xfId="25" applyNumberFormat="1" applyFont="1" applyBorder="1" applyAlignment="1">
      <alignment/>
      <protection locked="0"/>
    </xf>
    <xf numFmtId="2" fontId="2" fillId="0" borderId="0" xfId="25" applyNumberFormat="1" applyFont="1" applyBorder="1" applyAlignment="1">
      <alignment/>
      <protection locked="0"/>
    </xf>
    <xf numFmtId="0" fontId="5" fillId="0" borderId="0" xfId="25" applyFont="1" applyBorder="1" applyAlignment="1">
      <alignment horizontal="right"/>
      <protection/>
    </xf>
    <xf numFmtId="183" fontId="5" fillId="0" borderId="0" xfId="25" applyNumberFormat="1" applyFont="1" applyBorder="1" applyAlignment="1">
      <alignment/>
      <protection/>
    </xf>
    <xf numFmtId="0" fontId="5" fillId="0" borderId="0" xfId="25" applyFont="1" applyBorder="1" applyAlignment="1">
      <alignment horizontal="right"/>
      <protection/>
    </xf>
    <xf numFmtId="0" fontId="1" fillId="0" borderId="0" xfId="25" applyNumberFormat="1" applyFont="1" applyBorder="1" applyAlignment="1">
      <alignment horizontal="center"/>
      <protection locked="0"/>
    </xf>
    <xf numFmtId="0" fontId="1" fillId="0" borderId="7" xfId="25" applyNumberFormat="1" applyFont="1" applyBorder="1" applyAlignment="1">
      <alignment horizontal="center"/>
      <protection locked="0"/>
    </xf>
    <xf numFmtId="179" fontId="7" fillId="0" borderId="8" xfId="25" applyNumberFormat="1" applyFont="1" applyBorder="1" applyAlignment="1">
      <alignment horizontal="center"/>
      <protection/>
    </xf>
    <xf numFmtId="183" fontId="5" fillId="0" borderId="0" xfId="25" applyNumberFormat="1" applyFont="1" applyFill="1" applyBorder="1" applyAlignment="1">
      <alignment/>
      <protection/>
    </xf>
    <xf numFmtId="0" fontId="7" fillId="0" borderId="9" xfId="25" applyFont="1" applyBorder="1" applyAlignment="1">
      <alignment horizontal="left"/>
      <protection/>
    </xf>
    <xf numFmtId="0" fontId="2" fillId="0" borderId="5" xfId="25" applyNumberFormat="1" applyFont="1" applyBorder="1" applyAlignment="1">
      <alignment horizontal="center"/>
      <protection locked="0"/>
    </xf>
    <xf numFmtId="2" fontId="7" fillId="0" borderId="5" xfId="25" applyNumberFormat="1" applyFont="1" applyBorder="1" applyAlignment="1">
      <alignment horizontal="center"/>
      <protection/>
    </xf>
    <xf numFmtId="0" fontId="2" fillId="0" borderId="0" xfId="25" applyNumberFormat="1" applyFont="1" applyBorder="1" applyAlignment="1">
      <alignment/>
      <protection locked="0"/>
    </xf>
    <xf numFmtId="2" fontId="8" fillId="0" borderId="0" xfId="25" applyNumberFormat="1" applyFont="1" applyBorder="1" applyAlignment="1">
      <alignment horizontal="center"/>
      <protection/>
    </xf>
    <xf numFmtId="2" fontId="7" fillId="0" borderId="0" xfId="25" applyNumberFormat="1" applyFont="1" applyBorder="1" applyAlignment="1">
      <alignment horizontal="center"/>
      <protection/>
    </xf>
    <xf numFmtId="2" fontId="8" fillId="0" borderId="1" xfId="25" applyNumberFormat="1" applyFont="1" applyBorder="1" applyAlignment="1">
      <alignment horizontal="center"/>
      <protection/>
    </xf>
    <xf numFmtId="2" fontId="5" fillId="0" borderId="0" xfId="25" applyNumberFormat="1" applyFont="1" applyBorder="1" applyAlignment="1">
      <alignment/>
      <protection/>
    </xf>
    <xf numFmtId="0" fontId="7" fillId="0" borderId="5" xfId="25" applyFont="1" applyBorder="1" applyAlignment="1">
      <alignment horizontal="right"/>
      <protection/>
    </xf>
    <xf numFmtId="0" fontId="22" fillId="0" borderId="1" xfId="25" applyNumberFormat="1" applyFont="1" applyBorder="1" applyAlignment="1">
      <alignment/>
      <protection locked="0"/>
    </xf>
    <xf numFmtId="0" fontId="22" fillId="0" borderId="1" xfId="25" applyFont="1" applyBorder="1" applyAlignment="1">
      <alignment/>
      <protection/>
    </xf>
    <xf numFmtId="2" fontId="23" fillId="0" borderId="5" xfId="25" applyNumberFormat="1" applyFont="1" applyBorder="1" applyAlignment="1">
      <alignment/>
      <protection/>
    </xf>
    <xf numFmtId="0" fontId="23" fillId="0" borderId="5" xfId="25" applyFont="1" applyBorder="1" applyAlignment="1">
      <alignment/>
      <protection/>
    </xf>
    <xf numFmtId="2" fontId="23" fillId="0" borderId="0" xfId="25" applyNumberFormat="1" applyFont="1" applyAlignment="1">
      <alignment/>
      <protection/>
    </xf>
    <xf numFmtId="2" fontId="23" fillId="0" borderId="0" xfId="25" applyNumberFormat="1" applyFont="1" applyAlignment="1">
      <alignment/>
      <protection locked="0"/>
    </xf>
    <xf numFmtId="0" fontId="7" fillId="0" borderId="0" xfId="25" applyNumberFormat="1" applyFont="1" applyBorder="1" applyAlignment="1">
      <alignment/>
      <protection/>
    </xf>
    <xf numFmtId="1" fontId="7" fillId="0" borderId="0" xfId="25" applyNumberFormat="1" applyFont="1" applyBorder="1" applyAlignment="1">
      <alignment/>
      <protection/>
    </xf>
    <xf numFmtId="1" fontId="7" fillId="0" borderId="5" xfId="25" applyNumberFormat="1" applyFont="1" applyBorder="1" applyAlignment="1">
      <alignment horizontal="center"/>
      <protection/>
    </xf>
    <xf numFmtId="0" fontId="7" fillId="0" borderId="0" xfId="25" applyNumberFormat="1" applyFont="1" applyAlignment="1">
      <alignment/>
      <protection/>
    </xf>
    <xf numFmtId="3" fontId="8" fillId="0" borderId="0" xfId="25" applyNumberFormat="1" applyFont="1" applyBorder="1" applyAlignment="1">
      <alignment horizontal="center"/>
      <protection/>
    </xf>
    <xf numFmtId="3" fontId="7" fillId="0" borderId="0" xfId="25" applyNumberFormat="1" applyFont="1" applyBorder="1" applyAlignment="1">
      <alignment horizontal="center"/>
      <protection/>
    </xf>
    <xf numFmtId="3" fontId="8" fillId="0" borderId="1" xfId="25" applyNumberFormat="1" applyFont="1" applyBorder="1" applyAlignment="1">
      <alignment horizontal="center"/>
      <protection/>
    </xf>
    <xf numFmtId="3" fontId="5" fillId="0" borderId="0" xfId="25" applyNumberFormat="1" applyFont="1" applyBorder="1" applyAlignment="1">
      <alignment/>
      <protection/>
    </xf>
    <xf numFmtId="0" fontId="22" fillId="0" borderId="0" xfId="25" applyFont="1" applyBorder="1" applyAlignment="1">
      <alignment/>
      <protection/>
    </xf>
    <xf numFmtId="1" fontId="3" fillId="0" borderId="0" xfId="25" applyNumberFormat="1" applyFont="1" applyBorder="1" applyAlignment="1">
      <alignment/>
      <protection/>
    </xf>
    <xf numFmtId="3" fontId="5" fillId="0" borderId="0" xfId="25" applyNumberFormat="1" applyFont="1" applyBorder="1" applyAlignment="1">
      <alignment horizontal="right"/>
      <protection/>
    </xf>
    <xf numFmtId="183" fontId="3" fillId="0" borderId="0" xfId="25" applyNumberFormat="1" applyFont="1" applyBorder="1" applyAlignment="1">
      <alignment/>
      <protection/>
    </xf>
    <xf numFmtId="0" fontId="24" fillId="0" borderId="0" xfId="25" applyFont="1" applyBorder="1" applyAlignment="1">
      <alignment/>
      <protection/>
    </xf>
    <xf numFmtId="0" fontId="24" fillId="0" borderId="0" xfId="25" applyFont="1" applyAlignment="1">
      <alignment horizontal="center"/>
      <protection/>
    </xf>
    <xf numFmtId="0" fontId="24" fillId="0" borderId="1" xfId="25" applyFont="1" applyBorder="1" applyAlignment="1">
      <alignment horizontal="center"/>
      <protection/>
    </xf>
    <xf numFmtId="2" fontId="25" fillId="0" borderId="0" xfId="25" applyNumberFormat="1" applyFont="1" applyAlignment="1">
      <alignment/>
      <protection/>
    </xf>
    <xf numFmtId="2" fontId="26" fillId="0" borderId="0" xfId="25" applyNumberFormat="1" applyFont="1" applyAlignment="1">
      <alignment/>
      <protection/>
    </xf>
    <xf numFmtId="2" fontId="25" fillId="0" borderId="1" xfId="25" applyNumberFormat="1" applyFont="1" applyBorder="1" applyAlignment="1">
      <alignment/>
      <protection/>
    </xf>
    <xf numFmtId="0" fontId="24" fillId="0" borderId="0" xfId="25" applyFont="1" applyAlignment="1">
      <alignment/>
      <protection/>
    </xf>
    <xf numFmtId="0" fontId="24" fillId="0" borderId="0" xfId="25" applyNumberFormat="1" applyFont="1" applyAlignment="1">
      <alignment/>
      <protection locked="0"/>
    </xf>
    <xf numFmtId="0" fontId="26" fillId="0" borderId="0" xfId="25" applyNumberFormat="1" applyFont="1" applyAlignment="1">
      <alignment/>
      <protection locked="0"/>
    </xf>
    <xf numFmtId="2" fontId="18" fillId="0" borderId="0" xfId="2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25" applyFont="1" applyBorder="1" applyAlignment="1">
      <alignment horizontal="right"/>
      <protection/>
    </xf>
    <xf numFmtId="2" fontId="7" fillId="0" borderId="0" xfId="25" applyNumberFormat="1" applyFont="1" applyBorder="1" applyAlignment="1">
      <alignment horizontal="right"/>
      <protection/>
    </xf>
    <xf numFmtId="0" fontId="2" fillId="0" borderId="0" xfId="0" applyFont="1" applyAlignment="1">
      <alignment/>
    </xf>
    <xf numFmtId="1" fontId="8" fillId="0" borderId="10" xfId="25" applyNumberFormat="1" applyFont="1" applyBorder="1" applyAlignment="1">
      <alignment horizontal="center"/>
      <protection/>
    </xf>
    <xf numFmtId="0" fontId="24" fillId="0" borderId="0" xfId="25" applyNumberFormat="1" applyFont="1" applyBorder="1" applyAlignment="1">
      <alignment horizontal="right"/>
      <protection/>
    </xf>
    <xf numFmtId="0" fontId="26" fillId="0" borderId="0" xfId="25" applyNumberFormat="1" applyFont="1" applyFill="1" applyBorder="1" applyAlignment="1">
      <alignment/>
      <protection/>
    </xf>
    <xf numFmtId="0" fontId="24" fillId="0" borderId="0" xfId="25" applyNumberFormat="1" applyFont="1" applyBorder="1" applyAlignment="1">
      <alignment/>
      <protection/>
    </xf>
    <xf numFmtId="0" fontId="26" fillId="0" borderId="0" xfId="25" applyNumberFormat="1" applyFont="1" applyBorder="1" applyAlignment="1">
      <alignment/>
      <protection/>
    </xf>
    <xf numFmtId="0" fontId="25" fillId="0" borderId="0" xfId="25" applyNumberFormat="1" applyFont="1" applyBorder="1" applyAlignment="1">
      <alignment/>
      <protection/>
    </xf>
    <xf numFmtId="0" fontId="24" fillId="0" borderId="0" xfId="25" applyNumberFormat="1" applyFont="1" applyBorder="1" applyAlignment="1">
      <alignment horizontal="right"/>
      <protection locked="0"/>
    </xf>
    <xf numFmtId="0" fontId="24" fillId="0" borderId="0" xfId="25" applyNumberFormat="1" applyFont="1" applyBorder="1" applyAlignment="1">
      <alignment/>
      <protection locked="0"/>
    </xf>
    <xf numFmtId="0" fontId="24" fillId="0" borderId="0" xfId="25" applyFont="1" applyBorder="1" applyAlignment="1">
      <alignment horizontal="right"/>
      <protection/>
    </xf>
    <xf numFmtId="0" fontId="24" fillId="0" borderId="1" xfId="25" applyFont="1" applyBorder="1" applyAlignment="1">
      <alignment horizontal="right"/>
      <protection/>
    </xf>
    <xf numFmtId="2" fontId="26" fillId="0" borderId="5" xfId="25" applyNumberFormat="1" applyFont="1" applyBorder="1" applyAlignment="1">
      <alignment/>
      <protection/>
    </xf>
    <xf numFmtId="2" fontId="25" fillId="0" borderId="0" xfId="25" applyNumberFormat="1" applyFont="1" applyAlignment="1">
      <alignment horizontal="right"/>
      <protection/>
    </xf>
    <xf numFmtId="2" fontId="26" fillId="0" borderId="0" xfId="25" applyNumberFormat="1" applyFont="1" applyAlignment="1">
      <alignment horizontal="right"/>
      <protection/>
    </xf>
    <xf numFmtId="2" fontId="26" fillId="0" borderId="1" xfId="25" applyNumberFormat="1" applyFont="1" applyBorder="1" applyAlignment="1">
      <alignment/>
      <protection/>
    </xf>
    <xf numFmtId="2" fontId="25" fillId="0" borderId="1" xfId="25" applyNumberFormat="1" applyFont="1" applyBorder="1" applyAlignment="1">
      <alignment horizontal="right"/>
      <protection/>
    </xf>
    <xf numFmtId="0" fontId="26" fillId="0" borderId="0" xfId="25" applyNumberFormat="1" applyFont="1" applyBorder="1" applyAlignment="1">
      <alignment horizontal="right"/>
      <protection/>
    </xf>
    <xf numFmtId="0" fontId="24" fillId="0" borderId="1" xfId="25" applyNumberFormat="1" applyFont="1" applyBorder="1" applyAlignment="1">
      <alignment horizontal="right"/>
      <protection/>
    </xf>
    <xf numFmtId="2" fontId="26" fillId="0" borderId="1" xfId="25" applyNumberFormat="1" applyFont="1" applyBorder="1" applyAlignment="1">
      <alignment horizontal="right"/>
      <protection/>
    </xf>
    <xf numFmtId="2" fontId="28" fillId="0" borderId="0" xfId="25" applyNumberFormat="1" applyFont="1" applyAlignment="1">
      <alignment/>
      <protection/>
    </xf>
    <xf numFmtId="2" fontId="28" fillId="0" borderId="0" xfId="25" applyNumberFormat="1" applyFont="1" applyAlignment="1">
      <alignment/>
      <protection locked="0"/>
    </xf>
    <xf numFmtId="0" fontId="28" fillId="0" borderId="0" xfId="25" applyFont="1" applyAlignment="1">
      <alignment/>
      <protection/>
    </xf>
    <xf numFmtId="2" fontId="28" fillId="0" borderId="1" xfId="25" applyNumberFormat="1" applyFont="1" applyBorder="1" applyAlignment="1">
      <alignment/>
      <protection/>
    </xf>
    <xf numFmtId="2" fontId="28" fillId="0" borderId="1" xfId="25" applyNumberFormat="1" applyFont="1" applyBorder="1" applyAlignment="1">
      <alignment/>
      <protection locked="0"/>
    </xf>
    <xf numFmtId="2" fontId="26" fillId="0" borderId="1" xfId="25" applyNumberFormat="1" applyFont="1" applyBorder="1" applyAlignment="1">
      <alignment/>
      <protection locked="0"/>
    </xf>
    <xf numFmtId="2" fontId="26" fillId="0" borderId="5" xfId="25" applyNumberFormat="1" applyFont="1" applyBorder="1" applyAlignment="1">
      <alignment/>
      <protection locked="0"/>
    </xf>
    <xf numFmtId="2" fontId="25" fillId="0" borderId="1" xfId="25" applyNumberFormat="1" applyFont="1" applyBorder="1" applyAlignment="1">
      <alignment/>
      <protection locked="0"/>
    </xf>
    <xf numFmtId="2" fontId="25" fillId="0" borderId="0" xfId="25" applyNumberFormat="1" applyFont="1" applyBorder="1" applyAlignment="1">
      <alignment/>
      <protection locked="0"/>
    </xf>
    <xf numFmtId="2" fontId="25" fillId="0" borderId="10" xfId="25" applyNumberFormat="1" applyFont="1" applyBorder="1" applyAlignment="1">
      <alignment/>
      <protection locked="0"/>
    </xf>
    <xf numFmtId="2" fontId="26" fillId="0" borderId="0" xfId="25" applyNumberFormat="1" applyFont="1" applyBorder="1" applyAlignment="1">
      <alignment/>
      <protection locked="0"/>
    </xf>
    <xf numFmtId="2" fontId="11" fillId="0" borderId="10" xfId="25" applyNumberFormat="1" applyFont="1" applyFill="1" applyBorder="1" applyAlignment="1">
      <alignment horizontal="center"/>
      <protection/>
    </xf>
    <xf numFmtId="2" fontId="11" fillId="0" borderId="1" xfId="25" applyNumberFormat="1" applyFont="1" applyFill="1" applyBorder="1" applyAlignment="1">
      <alignment horizontal="center"/>
      <protection/>
    </xf>
    <xf numFmtId="2" fontId="11" fillId="0" borderId="0" xfId="25" applyNumberFormat="1" applyFont="1" applyFill="1" applyBorder="1" applyAlignment="1">
      <alignment horizontal="center"/>
      <protection/>
    </xf>
    <xf numFmtId="2" fontId="2" fillId="0" borderId="0" xfId="25" applyNumberFormat="1" applyFont="1" applyFill="1" applyBorder="1" applyAlignment="1">
      <alignment horizontal="center"/>
      <protection/>
    </xf>
    <xf numFmtId="185" fontId="28" fillId="0" borderId="0" xfId="25" applyNumberFormat="1" applyFont="1" applyAlignment="1">
      <alignment/>
      <protection/>
    </xf>
    <xf numFmtId="185" fontId="23" fillId="0" borderId="0" xfId="25" applyNumberFormat="1" applyFont="1" applyAlignment="1">
      <alignment/>
      <protection/>
    </xf>
    <xf numFmtId="185" fontId="28" fillId="0" borderId="1" xfId="25" applyNumberFormat="1" applyFont="1" applyBorder="1" applyAlignment="1">
      <alignment/>
      <protection/>
    </xf>
    <xf numFmtId="185" fontId="23" fillId="0" borderId="0" xfId="25" applyNumberFormat="1" applyFont="1" applyBorder="1" applyAlignment="1">
      <alignment/>
      <protection/>
    </xf>
    <xf numFmtId="0" fontId="1" fillId="0" borderId="0" xfId="25" applyNumberFormat="1" applyFont="1" applyBorder="1" applyAlignment="1">
      <alignment horizontal="right"/>
      <protection locked="0"/>
    </xf>
    <xf numFmtId="2" fontId="2" fillId="0" borderId="5" xfId="25" applyNumberFormat="1" applyFont="1" applyFill="1" applyBorder="1" applyAlignment="1">
      <alignment horizontal="center"/>
      <protection/>
    </xf>
    <xf numFmtId="0" fontId="8" fillId="0" borderId="1" xfId="25" applyNumberFormat="1" applyFont="1" applyBorder="1" applyAlignment="1">
      <alignment horizontal="center"/>
      <protection/>
    </xf>
    <xf numFmtId="2" fontId="26" fillId="0" borderId="0" xfId="25" applyNumberFormat="1" applyFont="1" applyBorder="1" applyAlignment="1">
      <alignment/>
      <protection/>
    </xf>
    <xf numFmtId="2" fontId="25" fillId="0" borderId="10" xfId="25" applyNumberFormat="1" applyFont="1" applyBorder="1" applyAlignment="1">
      <alignment/>
      <protection/>
    </xf>
    <xf numFmtId="2" fontId="25" fillId="0" borderId="0" xfId="25" applyNumberFormat="1" applyFont="1" applyBorder="1" applyAlignment="1">
      <alignment/>
      <protection/>
    </xf>
    <xf numFmtId="0" fontId="2" fillId="0" borderId="0" xfId="0" applyFont="1" applyBorder="1" applyAlignment="1">
      <alignment/>
    </xf>
    <xf numFmtId="15" fontId="2" fillId="0" borderId="0" xfId="0" applyNumberFormat="1" applyFont="1" applyBorder="1" applyAlignment="1">
      <alignment/>
    </xf>
    <xf numFmtId="183" fontId="5" fillId="0" borderId="0" xfId="25" applyNumberFormat="1" applyFont="1" applyBorder="1" applyAlignment="1">
      <alignment/>
      <protection/>
    </xf>
    <xf numFmtId="0" fontId="18" fillId="0" borderId="0" xfId="20" applyFont="1" applyAlignment="1">
      <alignment/>
    </xf>
    <xf numFmtId="179" fontId="5" fillId="0" borderId="0" xfId="25" applyNumberFormat="1" applyFont="1" applyBorder="1" applyAlignment="1">
      <alignment/>
      <protection/>
    </xf>
    <xf numFmtId="0" fontId="8" fillId="0" borderId="10" xfId="25" applyFont="1" applyBorder="1" applyAlignment="1">
      <alignment horizontal="left"/>
      <protection/>
    </xf>
    <xf numFmtId="0" fontId="7" fillId="0" borderId="10" xfId="25" applyFont="1" applyBorder="1" applyAlignment="1">
      <alignment/>
      <protection/>
    </xf>
    <xf numFmtId="2" fontId="7" fillId="0" borderId="10" xfId="25" applyNumberFormat="1" applyFont="1" applyBorder="1" applyAlignment="1">
      <alignment horizontal="center"/>
      <protection/>
    </xf>
    <xf numFmtId="0" fontId="2" fillId="0" borderId="10" xfId="25" applyNumberFormat="1" applyFont="1" applyBorder="1" applyAlignment="1">
      <alignment horizontal="center"/>
      <protection locked="0"/>
    </xf>
    <xf numFmtId="0" fontId="2" fillId="0" borderId="10" xfId="25" applyNumberFormat="1" applyFont="1" applyBorder="1" applyAlignment="1">
      <alignment/>
      <protection locked="0"/>
    </xf>
    <xf numFmtId="0" fontId="7" fillId="0" borderId="0" xfId="25" applyFont="1" applyBorder="1" applyAlignment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7" fillId="0" borderId="10" xfId="25" applyNumberFormat="1" applyFont="1" applyBorder="1" applyAlignment="1">
      <alignment/>
      <protection/>
    </xf>
    <xf numFmtId="2" fontId="7" fillId="0" borderId="10" xfId="25" applyNumberFormat="1" applyFont="1" applyBorder="1" applyAlignment="1">
      <alignment horizontal="right"/>
      <protection/>
    </xf>
    <xf numFmtId="2" fontId="23" fillId="0" borderId="0" xfId="25" applyNumberFormat="1" applyFont="1" applyBorder="1" applyAlignment="1">
      <alignment/>
      <protection/>
    </xf>
    <xf numFmtId="2" fontId="23" fillId="0" borderId="0" xfId="25" applyNumberFormat="1" applyFont="1" applyBorder="1" applyAlignment="1">
      <alignment/>
      <protection locked="0"/>
    </xf>
    <xf numFmtId="2" fontId="26" fillId="0" borderId="0" xfId="25" applyNumberFormat="1" applyFont="1" applyBorder="1" applyAlignment="1">
      <alignment horizontal="right"/>
      <protection/>
    </xf>
    <xf numFmtId="2" fontId="28" fillId="0" borderId="0" xfId="25" applyNumberFormat="1" applyFont="1" applyBorder="1" applyAlignment="1">
      <alignment/>
      <protection/>
    </xf>
    <xf numFmtId="2" fontId="28" fillId="0" borderId="0" xfId="25" applyNumberFormat="1" applyFont="1" applyBorder="1" applyAlignment="1">
      <alignment/>
      <protection locked="0"/>
    </xf>
    <xf numFmtId="185" fontId="28" fillId="0" borderId="0" xfId="25" applyNumberFormat="1" applyFont="1" applyBorder="1" applyAlignment="1">
      <alignment/>
      <protection/>
    </xf>
    <xf numFmtId="2" fontId="25" fillId="0" borderId="0" xfId="25" applyNumberFormat="1" applyFont="1" applyBorder="1" applyAlignment="1">
      <alignment horizontal="right"/>
      <protection/>
    </xf>
    <xf numFmtId="0" fontId="3" fillId="0" borderId="2" xfId="25" applyFont="1" applyBorder="1" applyAlignment="1">
      <alignment horizontal="center"/>
      <protection/>
    </xf>
    <xf numFmtId="0" fontId="7" fillId="0" borderId="0" xfId="25" applyNumberFormat="1" applyFont="1" applyAlignment="1">
      <alignment horizontal="center"/>
      <protection/>
    </xf>
    <xf numFmtId="185" fontId="7" fillId="0" borderId="0" xfId="25" applyNumberFormat="1" applyFont="1" applyAlignment="1">
      <alignment horizontal="center"/>
      <protection/>
    </xf>
    <xf numFmtId="0" fontId="1" fillId="0" borderId="0" xfId="25" applyNumberFormat="1" applyFont="1" applyBorder="1" applyAlignment="1">
      <alignment/>
      <protection/>
    </xf>
    <xf numFmtId="0" fontId="11" fillId="0" borderId="0" xfId="25" applyNumberFormat="1" applyFont="1" applyBorder="1" applyAlignment="1">
      <alignment/>
      <protection locked="0"/>
    </xf>
    <xf numFmtId="0" fontId="1" fillId="0" borderId="2" xfId="25" applyNumberFormat="1" applyFont="1" applyBorder="1" applyAlignment="1">
      <alignment/>
      <protection locked="0"/>
    </xf>
    <xf numFmtId="1" fontId="3" fillId="0" borderId="3" xfId="25" applyNumberFormat="1" applyFont="1" applyBorder="1" applyAlignment="1">
      <alignment/>
      <protection/>
    </xf>
    <xf numFmtId="0" fontId="2" fillId="0" borderId="10" xfId="0" applyFont="1" applyBorder="1" applyAlignment="1">
      <alignment/>
    </xf>
    <xf numFmtId="0" fontId="5" fillId="0" borderId="0" xfId="25" applyFont="1" applyBorder="1" applyAlignment="1">
      <alignment/>
      <protection/>
    </xf>
    <xf numFmtId="3" fontId="3" fillId="0" borderId="0" xfId="25" applyNumberFormat="1" applyFont="1" applyBorder="1" applyAlignment="1">
      <alignment/>
      <protection/>
    </xf>
    <xf numFmtId="0" fontId="5" fillId="0" borderId="1" xfId="25" applyFont="1" applyBorder="1" applyAlignment="1">
      <alignment/>
      <protection/>
    </xf>
    <xf numFmtId="15" fontId="3" fillId="0" borderId="4" xfId="25" applyNumberFormat="1" applyFont="1" applyBorder="1" applyAlignment="1">
      <alignment horizontal="center"/>
      <protection/>
    </xf>
    <xf numFmtId="0" fontId="3" fillId="0" borderId="11" xfId="25" applyFont="1" applyBorder="1" applyAlignment="1">
      <alignment horizontal="center"/>
      <protection/>
    </xf>
    <xf numFmtId="0" fontId="1" fillId="0" borderId="0" xfId="25" applyFont="1" applyAlignment="1">
      <alignment horizontal="right"/>
      <protection/>
    </xf>
    <xf numFmtId="2" fontId="1" fillId="0" borderId="0" xfId="25" applyNumberFormat="1" applyFont="1" applyAlignment="1">
      <alignment/>
      <protection/>
    </xf>
    <xf numFmtId="0" fontId="1" fillId="0" borderId="0" xfId="25" applyFont="1" applyAlignment="1">
      <alignment/>
      <protection/>
    </xf>
    <xf numFmtId="0" fontId="1" fillId="0" borderId="0" xfId="25" applyNumberFormat="1" applyFont="1" applyAlignment="1">
      <alignment/>
      <protection locked="0"/>
    </xf>
    <xf numFmtId="178" fontId="3" fillId="0" borderId="0" xfId="25" applyNumberFormat="1" applyFont="1" applyBorder="1" applyAlignment="1">
      <alignment/>
      <protection/>
    </xf>
    <xf numFmtId="0" fontId="1" fillId="0" borderId="0" xfId="25" applyNumberFormat="1" applyFont="1" applyAlignment="1">
      <alignment horizontal="right"/>
      <protection locked="0"/>
    </xf>
    <xf numFmtId="2" fontId="1" fillId="0" borderId="0" xfId="25" applyNumberFormat="1" applyFont="1" applyAlignment="1">
      <alignment/>
      <protection locked="0"/>
    </xf>
    <xf numFmtId="185" fontId="5" fillId="0" borderId="0" xfId="25" applyNumberFormat="1" applyFont="1" applyBorder="1" applyAlignment="1">
      <alignment/>
      <protection/>
    </xf>
    <xf numFmtId="11" fontId="3" fillId="0" borderId="0" xfId="25" applyNumberFormat="1" applyFont="1" applyAlignment="1">
      <alignment/>
      <protection/>
    </xf>
    <xf numFmtId="11" fontId="1" fillId="0" borderId="0" xfId="25" applyNumberFormat="1" applyFont="1" applyAlignment="1">
      <alignment/>
      <protection locked="0"/>
    </xf>
    <xf numFmtId="178" fontId="3" fillId="0" borderId="0" xfId="25" applyNumberFormat="1" applyFont="1" applyAlignment="1">
      <alignment/>
      <protection/>
    </xf>
    <xf numFmtId="2" fontId="11" fillId="0" borderId="4" xfId="25" applyNumberFormat="1" applyFont="1" applyBorder="1" applyAlignment="1">
      <alignment horizontal="center"/>
      <protection/>
    </xf>
    <xf numFmtId="2" fontId="14" fillId="0" borderId="5" xfId="25" applyNumberFormat="1" applyFont="1" applyBorder="1" applyAlignment="1">
      <alignment/>
      <protection/>
    </xf>
    <xf numFmtId="2" fontId="24" fillId="0" borderId="0" xfId="25" applyNumberFormat="1" applyFont="1" applyBorder="1" applyAlignment="1">
      <alignment horizontal="right"/>
      <protection/>
    </xf>
    <xf numFmtId="2" fontId="24" fillId="0" borderId="1" xfId="25" applyNumberFormat="1" applyFont="1" applyBorder="1" applyAlignment="1">
      <alignment horizontal="right"/>
      <protection/>
    </xf>
    <xf numFmtId="2" fontId="29" fillId="0" borderId="0" xfId="25" applyNumberFormat="1" applyFont="1" applyBorder="1" applyAlignment="1">
      <alignment horizontal="right"/>
      <protection/>
    </xf>
    <xf numFmtId="0" fontId="30" fillId="0" borderId="0" xfId="0" applyFont="1" applyAlignment="1">
      <alignment/>
    </xf>
    <xf numFmtId="15" fontId="7" fillId="0" borderId="10" xfId="25" applyNumberFormat="1" applyFont="1" applyBorder="1" applyAlignment="1">
      <alignment horizontal="center"/>
      <protection/>
    </xf>
    <xf numFmtId="186" fontId="8" fillId="0" borderId="11" xfId="25" applyNumberFormat="1" applyFont="1" applyBorder="1" applyAlignment="1">
      <alignment horizontal="center"/>
      <protection/>
    </xf>
    <xf numFmtId="186" fontId="7" fillId="0" borderId="11" xfId="25" applyNumberFormat="1" applyFont="1" applyBorder="1" applyAlignment="1">
      <alignment horizontal="center"/>
      <protection/>
    </xf>
    <xf numFmtId="186" fontId="8" fillId="0" borderId="7" xfId="25" applyNumberFormat="1" applyFont="1" applyBorder="1" applyAlignment="1">
      <alignment horizontal="center"/>
      <protection/>
    </xf>
    <xf numFmtId="186" fontId="5" fillId="0" borderId="0" xfId="25" applyNumberFormat="1" applyFont="1" applyBorder="1" applyAlignment="1">
      <alignment/>
      <protection/>
    </xf>
    <xf numFmtId="186" fontId="5" fillId="0" borderId="0" xfId="25" applyNumberFormat="1" applyFont="1" applyBorder="1" applyAlignment="1">
      <alignment/>
      <protection/>
    </xf>
    <xf numFmtId="0" fontId="6" fillId="0" borderId="0" xfId="25" applyFont="1" applyBorder="1" applyAlignment="1">
      <alignment horizontal="left"/>
      <protection/>
    </xf>
    <xf numFmtId="2" fontId="14" fillId="0" borderId="1" xfId="25" applyNumberFormat="1" applyFont="1" applyBorder="1" applyAlignment="1">
      <alignment/>
      <protection/>
    </xf>
    <xf numFmtId="2" fontId="10" fillId="0" borderId="1" xfId="25" applyNumberFormat="1" applyFont="1" applyBorder="1" applyAlignment="1">
      <alignment/>
      <protection/>
    </xf>
    <xf numFmtId="2" fontId="11" fillId="0" borderId="3" xfId="25" applyNumberFormat="1" applyFont="1" applyBorder="1" applyAlignment="1">
      <alignment horizontal="center"/>
      <protection/>
    </xf>
    <xf numFmtId="178" fontId="8" fillId="0" borderId="0" xfId="25" applyNumberFormat="1" applyFont="1" applyBorder="1" applyAlignment="1">
      <alignment/>
      <protection/>
    </xf>
    <xf numFmtId="178" fontId="7" fillId="0" borderId="0" xfId="25" applyNumberFormat="1" applyFont="1" applyBorder="1" applyAlignment="1">
      <alignment/>
      <protection/>
    </xf>
    <xf numFmtId="178" fontId="8" fillId="0" borderId="1" xfId="25" applyNumberFormat="1" applyFont="1" applyBorder="1" applyAlignment="1">
      <alignment/>
      <protection/>
    </xf>
    <xf numFmtId="0" fontId="3" fillId="0" borderId="0" xfId="25" applyFont="1" applyBorder="1" applyAlignment="1">
      <alignment horizontal="right"/>
      <protection/>
    </xf>
    <xf numFmtId="0" fontId="2" fillId="0" borderId="12" xfId="25" applyNumberFormat="1" applyFont="1" applyBorder="1" applyAlignment="1">
      <alignment/>
      <protection locked="0"/>
    </xf>
    <xf numFmtId="0" fontId="1" fillId="0" borderId="1" xfId="25" applyNumberFormat="1" applyFont="1" applyBorder="1" applyAlignment="1">
      <alignment horizontal="right"/>
      <protection locked="0"/>
    </xf>
    <xf numFmtId="0" fontId="2" fillId="0" borderId="5" xfId="0" applyFont="1" applyBorder="1" applyAlignment="1">
      <alignment horizontal="center"/>
    </xf>
    <xf numFmtId="15" fontId="7" fillId="0" borderId="9" xfId="25" applyNumberFormat="1" applyFont="1" applyBorder="1" applyAlignment="1">
      <alignment horizontal="right"/>
      <protection/>
    </xf>
    <xf numFmtId="0" fontId="1" fillId="0" borderId="1" xfId="25" applyNumberFormat="1" applyFont="1" applyBorder="1" applyAlignment="1">
      <alignment horizontal="center"/>
      <protection locked="0"/>
    </xf>
    <xf numFmtId="2" fontId="3" fillId="0" borderId="1" xfId="25" applyNumberFormat="1" applyFont="1" applyBorder="1" applyAlignment="1">
      <alignment horizontal="center"/>
      <protection/>
    </xf>
    <xf numFmtId="2" fontId="18" fillId="0" borderId="0" xfId="20" applyNumberFormat="1" applyFont="1" applyAlignment="1">
      <alignment/>
    </xf>
    <xf numFmtId="0" fontId="2" fillId="0" borderId="0" xfId="0" applyFont="1" applyAlignment="1">
      <alignment/>
    </xf>
    <xf numFmtId="0" fontId="18" fillId="0" borderId="0" xfId="20" applyFont="1" applyAlignment="1">
      <alignment/>
    </xf>
    <xf numFmtId="15" fontId="3" fillId="0" borderId="1" xfId="25" applyNumberFormat="1" applyFont="1" applyBorder="1" applyAlignment="1">
      <alignment horizontal="left"/>
      <protection/>
    </xf>
    <xf numFmtId="0" fontId="1" fillId="0" borderId="3" xfId="0" applyFont="1" applyBorder="1" applyAlignment="1">
      <alignment horizontal="left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32_5_~1" xfId="21"/>
    <cellStyle name="Normal_132_6_~1" xfId="22"/>
    <cellStyle name="Normal_132_S_~1" xfId="23"/>
    <cellStyle name="Normal_852_5_~1" xfId="24"/>
    <cellStyle name="Normal_852_6_~1" xfId="25"/>
    <cellStyle name="Normal_B" xfId="26"/>
    <cellStyle name="Normal_C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5"/>
          <c:w val="0.7392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'850S2000'!$H$12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'850S2000'!$A$15:$A$35</c:f>
              <c:numCache/>
            </c:numRef>
          </c:xVal>
          <c:yVal>
            <c:numRef>
              <c:f>'850S2000'!$H$15:$H$35</c:f>
              <c:numCache/>
            </c:numRef>
          </c:yVal>
          <c:smooth val="0"/>
        </c:ser>
        <c:ser>
          <c:idx val="1"/>
          <c:order val="1"/>
          <c:tx>
            <c:strRef>
              <c:f>'850S2000'!$I$12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'850S2000'!$A$15:$A$35</c:f>
              <c:numCache/>
            </c:numRef>
          </c:xVal>
          <c:yVal>
            <c:numRef>
              <c:f>'850S2000'!$I$15:$I$35</c:f>
              <c:numCache/>
            </c:numRef>
          </c:yVal>
          <c:smooth val="0"/>
        </c:ser>
        <c:ser>
          <c:idx val="2"/>
          <c:order val="2"/>
          <c:tx>
            <c:strRef>
              <c:f>'850S2000'!$L$12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'850S2000'!$A$15:$A$35</c:f>
              <c:numCache/>
            </c:numRef>
          </c:xVal>
          <c:yVal>
            <c:numRef>
              <c:f>'850S2000'!$L$15:$L$35</c:f>
              <c:numCache/>
            </c:numRef>
          </c:yVal>
          <c:smooth val="0"/>
        </c:ser>
        <c:ser>
          <c:idx val="3"/>
          <c:order val="3"/>
          <c:tx>
            <c:strRef>
              <c:f>'850S2000'!$N$12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'850S2000'!$A$15:$A$35</c:f>
              <c:numCache/>
            </c:numRef>
          </c:xVal>
          <c:yVal>
            <c:numRef>
              <c:f>'850S2000'!$N$15:$N$35</c:f>
              <c:numCache/>
            </c:numRef>
          </c:yVal>
          <c:smooth val="0"/>
        </c:ser>
        <c:ser>
          <c:idx val="4"/>
          <c:order val="4"/>
          <c:tx>
            <c:strRef>
              <c:f>'850S2000'!$O$12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'850S2000'!$A$15:$A$35</c:f>
              <c:numCache/>
            </c:numRef>
          </c:xVal>
          <c:yVal>
            <c:numRef>
              <c:f>'850S2000'!$O$15:$O$35</c:f>
              <c:numCache/>
            </c:numRef>
          </c:yVal>
          <c:smooth val="0"/>
        </c:ser>
        <c:ser>
          <c:idx val="5"/>
          <c:order val="5"/>
          <c:tx>
            <c:strRef>
              <c:f>'850S2000'!$P$12</c:f>
              <c:strCache>
                <c:ptCount val="1"/>
                <c:pt idx="0">
                  <c:v>(Per)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'850S2000'!$A$15:$A$35</c:f>
              <c:numCache/>
            </c:numRef>
          </c:xVal>
          <c:yVal>
            <c:numRef>
              <c:f>'850S2000'!$P$15:$P$35</c:f>
              <c:numCache/>
            </c:numRef>
          </c:yVal>
          <c:smooth val="0"/>
        </c:ser>
        <c:ser>
          <c:idx val="6"/>
          <c:order val="6"/>
          <c:tx>
            <c:strRef>
              <c:f>'850S2000'!$Q$12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'850S2000'!$A$15:$A$35</c:f>
              <c:numCache/>
            </c:numRef>
          </c:xVal>
          <c:yVal>
            <c:numRef>
              <c:f>'850S2000'!$Q$15:$Q$35</c:f>
              <c:numCache/>
            </c:numRef>
          </c:yVal>
          <c:smooth val="0"/>
        </c:ser>
        <c:ser>
          <c:idx val="10"/>
          <c:order val="7"/>
          <c:tx>
            <c:strRef>
              <c:f>'850S2000'!$R$12</c:f>
              <c:strCache>
                <c:ptCount val="1"/>
                <c:pt idx="0">
                  <c:v>R. Eye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'850S2000'!$A$15:$A$35</c:f>
              <c:numCache/>
            </c:numRef>
          </c:xVal>
          <c:yVal>
            <c:numRef>
              <c:f>'850S2000'!$R$15:$R$35</c:f>
              <c:numCache/>
            </c:numRef>
          </c:yVal>
          <c:smooth val="0"/>
        </c:ser>
        <c:ser>
          <c:idx val="7"/>
          <c:order val="8"/>
          <c:tx>
            <c:strRef>
              <c:f>'850S2000'!$AB$12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'850S2000'!$A$15:$A$35</c:f>
              <c:numCache/>
            </c:numRef>
          </c:xVal>
          <c:yVal>
            <c:numRef>
              <c:f>'850S2000'!$AB$15:$AB$35</c:f>
              <c:numCache/>
            </c:numRef>
          </c:yVal>
          <c:smooth val="0"/>
        </c:ser>
        <c:ser>
          <c:idx val="8"/>
          <c:order val="9"/>
          <c:tx>
            <c:strRef>
              <c:f>'850S2000'!$S$12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'850S2000'!$A$15:$A$35</c:f>
              <c:numCache/>
            </c:numRef>
          </c:xVal>
          <c:yVal>
            <c:numRef>
              <c:f>'850S2000'!$S$15:$S$35</c:f>
              <c:numCache/>
            </c:numRef>
          </c:yVal>
          <c:smooth val="0"/>
        </c:ser>
        <c:ser>
          <c:idx val="9"/>
          <c:order val="10"/>
          <c:tx>
            <c:strRef>
              <c:f>'850S2000'!$AD$13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'850S2000'!$AC$15:$AC$35</c:f>
              <c:numCache/>
            </c:numRef>
          </c:xVal>
          <c:yVal>
            <c:numRef>
              <c:f>'850S2000'!$AD$15:$AD$35</c:f>
              <c:numCache/>
            </c:numRef>
          </c:yVal>
          <c:smooth val="0"/>
        </c:ser>
        <c:axId val="59432105"/>
        <c:axId val="65126898"/>
      </c:scatterChart>
      <c:valAx>
        <c:axId val="59432105"/>
        <c:scaling>
          <c:orientation val="minMax"/>
          <c:max val="0.4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26898"/>
        <c:crosses val="autoZero"/>
        <c:crossBetween val="midCat"/>
        <c:dispUnits/>
      </c:valAx>
      <c:valAx>
        <c:axId val="6512689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321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7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5"/>
          <c:w val="0.7387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'850S50_500'!$H$12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'850S50_500'!$A$15:$A$35</c:f>
              <c:numCache/>
            </c:numRef>
          </c:xVal>
          <c:yVal>
            <c:numRef>
              <c:f>'850S50_500'!$H$15:$H$35</c:f>
              <c:numCache/>
            </c:numRef>
          </c:yVal>
          <c:smooth val="0"/>
        </c:ser>
        <c:ser>
          <c:idx val="1"/>
          <c:order val="1"/>
          <c:tx>
            <c:strRef>
              <c:f>'850S50_500'!$I$12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'850S50_500'!$A$15:$A$35</c:f>
              <c:numCache/>
            </c:numRef>
          </c:xVal>
          <c:yVal>
            <c:numRef>
              <c:f>'850S50_500'!$I$15:$I$35</c:f>
              <c:numCache/>
            </c:numRef>
          </c:yVal>
          <c:smooth val="0"/>
        </c:ser>
        <c:ser>
          <c:idx val="2"/>
          <c:order val="2"/>
          <c:tx>
            <c:strRef>
              <c:f>'850S50_500'!$L$12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'850S50_500'!$A$15:$A$35</c:f>
              <c:numCache/>
            </c:numRef>
          </c:xVal>
          <c:yVal>
            <c:numRef>
              <c:f>'850S50_500'!$L$15:$L$35</c:f>
              <c:numCache/>
            </c:numRef>
          </c:yVal>
          <c:smooth val="0"/>
        </c:ser>
        <c:ser>
          <c:idx val="3"/>
          <c:order val="3"/>
          <c:tx>
            <c:strRef>
              <c:f>'850S50_500'!$N$12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'850S50_500'!$A$15:$A$35</c:f>
              <c:numCache/>
            </c:numRef>
          </c:xVal>
          <c:yVal>
            <c:numRef>
              <c:f>'850S50_500'!$N$15:$N$35</c:f>
              <c:numCache/>
            </c:numRef>
          </c:yVal>
          <c:smooth val="0"/>
        </c:ser>
        <c:ser>
          <c:idx val="4"/>
          <c:order val="4"/>
          <c:tx>
            <c:strRef>
              <c:f>'850S50_500'!$O$12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'850S50_500'!$A$15:$A$35</c:f>
              <c:numCache/>
            </c:numRef>
          </c:xVal>
          <c:yVal>
            <c:numRef>
              <c:f>'850S50_500'!$O$15:$O$35</c:f>
              <c:numCache/>
            </c:numRef>
          </c:yVal>
          <c:smooth val="0"/>
        </c:ser>
        <c:ser>
          <c:idx val="5"/>
          <c:order val="5"/>
          <c:tx>
            <c:strRef>
              <c:f>'850S50_500'!$P$12</c:f>
              <c:strCache>
                <c:ptCount val="1"/>
                <c:pt idx="0">
                  <c:v>(Per)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'850S50_500'!$A$15:$A$35</c:f>
              <c:numCache/>
            </c:numRef>
          </c:xVal>
          <c:yVal>
            <c:numRef>
              <c:f>'850S50_500'!$P$15:$P$35</c:f>
              <c:numCache/>
            </c:numRef>
          </c:yVal>
          <c:smooth val="0"/>
        </c:ser>
        <c:ser>
          <c:idx val="6"/>
          <c:order val="6"/>
          <c:tx>
            <c:strRef>
              <c:f>'850S50_500'!$Q$12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'850S50_500'!$A$15:$A$35</c:f>
              <c:numCache/>
            </c:numRef>
          </c:xVal>
          <c:yVal>
            <c:numRef>
              <c:f>'850S50_500'!$Q$15:$Q$35</c:f>
              <c:numCache/>
            </c:numRef>
          </c:yVal>
          <c:smooth val="0"/>
        </c:ser>
        <c:ser>
          <c:idx val="10"/>
          <c:order val="7"/>
          <c:tx>
            <c:strRef>
              <c:f>'850S50_500'!$R$12</c:f>
              <c:strCache>
                <c:ptCount val="1"/>
                <c:pt idx="0">
                  <c:v>R. Eye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'850S50_500'!$A$15:$A$35</c:f>
              <c:numCache/>
            </c:numRef>
          </c:xVal>
          <c:yVal>
            <c:numRef>
              <c:f>'850S50_500'!$R$15:$R$35</c:f>
              <c:numCache/>
            </c:numRef>
          </c:yVal>
          <c:smooth val="0"/>
        </c:ser>
        <c:ser>
          <c:idx val="7"/>
          <c:order val="8"/>
          <c:tx>
            <c:strRef>
              <c:f>'850S50_500'!$AB$12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'850S50_500'!$A$15:$A$35</c:f>
              <c:numCache/>
            </c:numRef>
          </c:xVal>
          <c:yVal>
            <c:numRef>
              <c:f>'850S50_500'!$AB$15:$AB$35</c:f>
              <c:numCache/>
            </c:numRef>
          </c:yVal>
          <c:smooth val="0"/>
        </c:ser>
        <c:ser>
          <c:idx val="8"/>
          <c:order val="9"/>
          <c:tx>
            <c:strRef>
              <c:f>'850S50_500'!$S$12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'850S50_500'!$A$15:$A$35</c:f>
              <c:numCache/>
            </c:numRef>
          </c:xVal>
          <c:yVal>
            <c:numRef>
              <c:f>'850S50_500'!$S$15:$S$35</c:f>
              <c:numCache/>
            </c:numRef>
          </c:yVal>
          <c:smooth val="0"/>
        </c:ser>
        <c:ser>
          <c:idx val="9"/>
          <c:order val="10"/>
          <c:tx>
            <c:strRef>
              <c:f>'850S50_500'!$AD$13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'850S50_500'!$AC$15:$AC$35</c:f>
              <c:numCache/>
            </c:numRef>
          </c:xVal>
          <c:yVal>
            <c:numRef>
              <c:f>'850S50_500'!$AD$15:$AD$35</c:f>
              <c:numCache/>
            </c:numRef>
          </c:yVal>
          <c:smooth val="0"/>
        </c:ser>
        <c:axId val="49271171"/>
        <c:axId val="40787356"/>
      </c:scatterChart>
      <c:valAx>
        <c:axId val="49271171"/>
        <c:scaling>
          <c:orientation val="minMax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87356"/>
        <c:crosses val="autoZero"/>
        <c:crossBetween val="midCat"/>
        <c:dispUnits/>
      </c:valAx>
      <c:valAx>
        <c:axId val="4078735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711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7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5"/>
          <c:w val="0.7387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'850S50_400'!$H$12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'850S50_400'!$A$15:$A$35</c:f>
              <c:numCache/>
            </c:numRef>
          </c:xVal>
          <c:yVal>
            <c:numRef>
              <c:f>'850S50_400'!$H$15:$H$35</c:f>
              <c:numCache/>
            </c:numRef>
          </c:yVal>
          <c:smooth val="0"/>
        </c:ser>
        <c:ser>
          <c:idx val="1"/>
          <c:order val="1"/>
          <c:tx>
            <c:strRef>
              <c:f>'850S50_400'!$I$12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'850S50_400'!$A$15:$A$35</c:f>
              <c:numCache/>
            </c:numRef>
          </c:xVal>
          <c:yVal>
            <c:numRef>
              <c:f>'850S50_400'!$I$15:$I$35</c:f>
              <c:numCache/>
            </c:numRef>
          </c:yVal>
          <c:smooth val="0"/>
        </c:ser>
        <c:ser>
          <c:idx val="2"/>
          <c:order val="2"/>
          <c:tx>
            <c:strRef>
              <c:f>'850S50_400'!$L$12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'850S50_400'!$A$15:$A$35</c:f>
              <c:numCache/>
            </c:numRef>
          </c:xVal>
          <c:yVal>
            <c:numRef>
              <c:f>'850S50_400'!$L$15:$L$35</c:f>
              <c:numCache/>
            </c:numRef>
          </c:yVal>
          <c:smooth val="0"/>
        </c:ser>
        <c:ser>
          <c:idx val="3"/>
          <c:order val="3"/>
          <c:tx>
            <c:strRef>
              <c:f>'850S50_400'!$N$12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'850S50_400'!$A$15:$A$35</c:f>
              <c:numCache/>
            </c:numRef>
          </c:xVal>
          <c:yVal>
            <c:numRef>
              <c:f>'850S50_400'!$N$15:$N$35</c:f>
              <c:numCache/>
            </c:numRef>
          </c:yVal>
          <c:smooth val="0"/>
        </c:ser>
        <c:ser>
          <c:idx val="4"/>
          <c:order val="4"/>
          <c:tx>
            <c:strRef>
              <c:f>'850S50_400'!$O$12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'850S50_400'!$A$15:$A$35</c:f>
              <c:numCache/>
            </c:numRef>
          </c:xVal>
          <c:yVal>
            <c:numRef>
              <c:f>'850S50_400'!$O$15:$O$35</c:f>
              <c:numCache/>
            </c:numRef>
          </c:yVal>
          <c:smooth val="0"/>
        </c:ser>
        <c:ser>
          <c:idx val="5"/>
          <c:order val="5"/>
          <c:tx>
            <c:strRef>
              <c:f>'850S50_400'!$P$12</c:f>
              <c:strCache>
                <c:ptCount val="1"/>
                <c:pt idx="0">
                  <c:v>(Per)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'850S50_400'!$A$15:$A$35</c:f>
              <c:numCache/>
            </c:numRef>
          </c:xVal>
          <c:yVal>
            <c:numRef>
              <c:f>'850S50_400'!$P$15:$P$35</c:f>
              <c:numCache/>
            </c:numRef>
          </c:yVal>
          <c:smooth val="0"/>
        </c:ser>
        <c:ser>
          <c:idx val="6"/>
          <c:order val="6"/>
          <c:tx>
            <c:strRef>
              <c:f>'850S50_400'!$Q$12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'850S50_400'!$A$15:$A$35</c:f>
              <c:numCache/>
            </c:numRef>
          </c:xVal>
          <c:yVal>
            <c:numRef>
              <c:f>'850S50_400'!$Q$15:$Q$35</c:f>
              <c:numCache/>
            </c:numRef>
          </c:yVal>
          <c:smooth val="0"/>
        </c:ser>
        <c:ser>
          <c:idx val="10"/>
          <c:order val="7"/>
          <c:tx>
            <c:strRef>
              <c:f>'850S50_400'!$R$12</c:f>
              <c:strCache>
                <c:ptCount val="1"/>
                <c:pt idx="0">
                  <c:v>R. Eye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'850S50_400'!$A$15:$A$35</c:f>
              <c:numCache/>
            </c:numRef>
          </c:xVal>
          <c:yVal>
            <c:numRef>
              <c:f>'850S50_400'!$R$15:$R$35</c:f>
              <c:numCache/>
            </c:numRef>
          </c:yVal>
          <c:smooth val="0"/>
        </c:ser>
        <c:ser>
          <c:idx val="7"/>
          <c:order val="8"/>
          <c:tx>
            <c:strRef>
              <c:f>'850S50_400'!$AB$12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'850S50_400'!$A$15:$A$35</c:f>
              <c:numCache/>
            </c:numRef>
          </c:xVal>
          <c:yVal>
            <c:numRef>
              <c:f>'850S50_400'!$AB$15:$AB$35</c:f>
              <c:numCache/>
            </c:numRef>
          </c:yVal>
          <c:smooth val="0"/>
        </c:ser>
        <c:ser>
          <c:idx val="8"/>
          <c:order val="9"/>
          <c:tx>
            <c:strRef>
              <c:f>'850S50_400'!$S$12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'850S50_400'!$A$15:$A$35</c:f>
              <c:numCache/>
            </c:numRef>
          </c:xVal>
          <c:yVal>
            <c:numRef>
              <c:f>'850S50_400'!$S$15:$S$35</c:f>
              <c:numCache/>
            </c:numRef>
          </c:yVal>
          <c:smooth val="0"/>
        </c:ser>
        <c:ser>
          <c:idx val="9"/>
          <c:order val="10"/>
          <c:tx>
            <c:strRef>
              <c:f>'850S50_400'!$AD$13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'850S50_400'!$AC$15:$AC$35</c:f>
              <c:numCache/>
            </c:numRef>
          </c:xVal>
          <c:yVal>
            <c:numRef>
              <c:f>'850S50_400'!$AD$15:$AD$35</c:f>
              <c:numCache/>
            </c:numRef>
          </c:yVal>
          <c:smooth val="0"/>
        </c:ser>
        <c:axId val="31541885"/>
        <c:axId val="15441510"/>
      </c:scatterChart>
      <c:valAx>
        <c:axId val="31541885"/>
        <c:scaling>
          <c:orientation val="minMax"/>
          <c:max val="0.095"/>
          <c:min val="0.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41510"/>
        <c:crosses val="autoZero"/>
        <c:crossBetween val="midCat"/>
        <c:dispUnits/>
      </c:valAx>
      <c:valAx>
        <c:axId val="1544151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418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7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5"/>
          <c:w val="0.7387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LX4_62MMF!$H$12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LX4_62MMF!$A$15:$A$35</c:f>
              <c:numCache/>
            </c:numRef>
          </c:xVal>
          <c:yVal>
            <c:numRef>
              <c:f>LX4_62MMF!$H$15:$H$35</c:f>
              <c:numCache/>
            </c:numRef>
          </c:yVal>
          <c:smooth val="0"/>
        </c:ser>
        <c:ser>
          <c:idx val="1"/>
          <c:order val="1"/>
          <c:tx>
            <c:strRef>
              <c:f>LX4_62MMF!$I$12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LX4_62MMF!$A$15:$A$35</c:f>
              <c:numCache/>
            </c:numRef>
          </c:xVal>
          <c:yVal>
            <c:numRef>
              <c:f>LX4_62MMF!$I$15:$I$35</c:f>
              <c:numCache/>
            </c:numRef>
          </c:yVal>
          <c:smooth val="0"/>
        </c:ser>
        <c:ser>
          <c:idx val="2"/>
          <c:order val="2"/>
          <c:tx>
            <c:strRef>
              <c:f>LX4_62MMF!$L$12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LX4_62MMF!$A$15:$A$35</c:f>
              <c:numCache/>
            </c:numRef>
          </c:xVal>
          <c:yVal>
            <c:numRef>
              <c:f>LX4_62MMF!$L$15:$L$35</c:f>
              <c:numCache/>
            </c:numRef>
          </c:yVal>
          <c:smooth val="0"/>
        </c:ser>
        <c:ser>
          <c:idx val="3"/>
          <c:order val="3"/>
          <c:tx>
            <c:strRef>
              <c:f>LX4_62MMF!$N$12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LX4_62MMF!$A$15:$A$35</c:f>
              <c:numCache/>
            </c:numRef>
          </c:xVal>
          <c:yVal>
            <c:numRef>
              <c:f>LX4_62MMF!$N$15:$N$35</c:f>
              <c:numCache/>
            </c:numRef>
          </c:yVal>
          <c:smooth val="0"/>
        </c:ser>
        <c:ser>
          <c:idx val="4"/>
          <c:order val="4"/>
          <c:tx>
            <c:strRef>
              <c:f>LX4_62MMF!$O$12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LX4_62MMF!$A$15:$A$35</c:f>
              <c:numCache/>
            </c:numRef>
          </c:xVal>
          <c:yVal>
            <c:numRef>
              <c:f>LX4_62MMF!$O$15:$O$35</c:f>
              <c:numCache/>
            </c:numRef>
          </c:yVal>
          <c:smooth val="0"/>
        </c:ser>
        <c:ser>
          <c:idx val="5"/>
          <c:order val="5"/>
          <c:tx>
            <c:strRef>
              <c:f>LX4_62MMF!$P$12</c:f>
              <c:strCache>
                <c:ptCount val="1"/>
                <c:pt idx="0">
                  <c:v>(Per)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LX4_62MMF!$A$15:$A$35</c:f>
              <c:numCache/>
            </c:numRef>
          </c:xVal>
          <c:yVal>
            <c:numRef>
              <c:f>LX4_62MMF!$P$15:$P$35</c:f>
              <c:numCache/>
            </c:numRef>
          </c:yVal>
          <c:smooth val="0"/>
        </c:ser>
        <c:ser>
          <c:idx val="6"/>
          <c:order val="6"/>
          <c:tx>
            <c:strRef>
              <c:f>LX4_62MMF!$Q$12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LX4_62MMF!$A$15:$A$35</c:f>
              <c:numCache/>
            </c:numRef>
          </c:xVal>
          <c:yVal>
            <c:numRef>
              <c:f>LX4_62MMF!$Q$15:$Q$35</c:f>
              <c:numCache/>
            </c:numRef>
          </c:yVal>
          <c:smooth val="0"/>
        </c:ser>
        <c:ser>
          <c:idx val="10"/>
          <c:order val="7"/>
          <c:tx>
            <c:strRef>
              <c:f>LX4_62MMF!$R$12</c:f>
              <c:strCache>
                <c:ptCount val="1"/>
                <c:pt idx="0">
                  <c:v>R. Eye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LX4_62MMF!$A$15:$A$35</c:f>
              <c:numCache/>
            </c:numRef>
          </c:xVal>
          <c:yVal>
            <c:numRef>
              <c:f>LX4_62MMF!$R$15:$R$35</c:f>
              <c:numCache/>
            </c:numRef>
          </c:yVal>
          <c:smooth val="0"/>
        </c:ser>
        <c:ser>
          <c:idx val="7"/>
          <c:order val="8"/>
          <c:tx>
            <c:strRef>
              <c:f>LX4_62MMF!$AB$12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LX4_62MMF!$A$15:$A$35</c:f>
              <c:numCache/>
            </c:numRef>
          </c:xVal>
          <c:yVal>
            <c:numRef>
              <c:f>LX4_62MMF!$AB$15:$AB$35</c:f>
              <c:numCache/>
            </c:numRef>
          </c:yVal>
          <c:smooth val="0"/>
        </c:ser>
        <c:ser>
          <c:idx val="8"/>
          <c:order val="9"/>
          <c:tx>
            <c:strRef>
              <c:f>LX4_62MMF!$S$12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LX4_62MMF!$A$15:$A$35</c:f>
              <c:numCache/>
            </c:numRef>
          </c:xVal>
          <c:yVal>
            <c:numRef>
              <c:f>LX4_62MMF!$S$15:$S$35</c:f>
              <c:numCache/>
            </c:numRef>
          </c:yVal>
          <c:smooth val="0"/>
        </c:ser>
        <c:ser>
          <c:idx val="9"/>
          <c:order val="10"/>
          <c:tx>
            <c:strRef>
              <c:f>LX4_62MMF!$AD$13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LX4_62MMF!$AC$15:$AC$35</c:f>
              <c:numCache/>
            </c:numRef>
          </c:xVal>
          <c:yVal>
            <c:numRef>
              <c:f>LX4_62MMF!$AD$15:$AD$35</c:f>
              <c:numCache/>
            </c:numRef>
          </c:yVal>
          <c:smooth val="0"/>
        </c:ser>
        <c:axId val="4755863"/>
        <c:axId val="42802768"/>
      </c:scatterChart>
      <c:valAx>
        <c:axId val="4755863"/>
        <c:scaling>
          <c:orientation val="minMax"/>
          <c:max val="0.4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02768"/>
        <c:crosses val="autoZero"/>
        <c:crossBetween val="midCat"/>
        <c:dispUnits/>
      </c:valAx>
      <c:valAx>
        <c:axId val="4280276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58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7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7275"/>
          <c:w val="0.741"/>
          <c:h val="0.8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LX4_50MMF!$H$12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LX4_50MMF!$A$15:$A$35</c:f>
              <c:numCache/>
            </c:numRef>
          </c:xVal>
          <c:yVal>
            <c:numRef>
              <c:f>LX4_50MMF!$H$15:$H$35</c:f>
              <c:numCache/>
            </c:numRef>
          </c:yVal>
          <c:smooth val="0"/>
        </c:ser>
        <c:ser>
          <c:idx val="1"/>
          <c:order val="1"/>
          <c:tx>
            <c:strRef>
              <c:f>LX4_50MMF!$I$12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LX4_50MMF!$A$15:$A$35</c:f>
              <c:numCache/>
            </c:numRef>
          </c:xVal>
          <c:yVal>
            <c:numRef>
              <c:f>LX4_50MMF!$I$15:$I$35</c:f>
              <c:numCache/>
            </c:numRef>
          </c:yVal>
          <c:smooth val="0"/>
        </c:ser>
        <c:ser>
          <c:idx val="2"/>
          <c:order val="2"/>
          <c:tx>
            <c:strRef>
              <c:f>LX4_50MMF!$L$12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LX4_50MMF!$A$15:$A$35</c:f>
              <c:numCache/>
            </c:numRef>
          </c:xVal>
          <c:yVal>
            <c:numRef>
              <c:f>LX4_50MMF!$L$15:$L$35</c:f>
              <c:numCache/>
            </c:numRef>
          </c:yVal>
          <c:smooth val="0"/>
        </c:ser>
        <c:ser>
          <c:idx val="3"/>
          <c:order val="3"/>
          <c:tx>
            <c:strRef>
              <c:f>LX4_50MMF!$N$12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LX4_50MMF!$A$15:$A$35</c:f>
              <c:numCache/>
            </c:numRef>
          </c:xVal>
          <c:yVal>
            <c:numRef>
              <c:f>LX4_50MMF!$N$15:$N$35</c:f>
              <c:numCache/>
            </c:numRef>
          </c:yVal>
          <c:smooth val="0"/>
        </c:ser>
        <c:ser>
          <c:idx val="4"/>
          <c:order val="4"/>
          <c:tx>
            <c:strRef>
              <c:f>LX4_50MMF!$O$12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LX4_50MMF!$A$15:$A$35</c:f>
              <c:numCache/>
            </c:numRef>
          </c:xVal>
          <c:yVal>
            <c:numRef>
              <c:f>LX4_50MMF!$O$15:$O$35</c:f>
              <c:numCache/>
            </c:numRef>
          </c:yVal>
          <c:smooth val="0"/>
        </c:ser>
        <c:ser>
          <c:idx val="5"/>
          <c:order val="5"/>
          <c:tx>
            <c:strRef>
              <c:f>LX4_50MMF!$P$12</c:f>
              <c:strCache>
                <c:ptCount val="1"/>
                <c:pt idx="0">
                  <c:v>(Per)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LX4_50MMF!$A$15:$A$35</c:f>
              <c:numCache/>
            </c:numRef>
          </c:xVal>
          <c:yVal>
            <c:numRef>
              <c:f>LX4_50MMF!$P$15:$P$35</c:f>
              <c:numCache/>
            </c:numRef>
          </c:yVal>
          <c:smooth val="0"/>
        </c:ser>
        <c:ser>
          <c:idx val="6"/>
          <c:order val="6"/>
          <c:tx>
            <c:strRef>
              <c:f>LX4_50MMF!$Q$12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LX4_50MMF!$A$15:$A$35</c:f>
              <c:numCache/>
            </c:numRef>
          </c:xVal>
          <c:yVal>
            <c:numRef>
              <c:f>LX4_50MMF!$Q$15:$Q$35</c:f>
              <c:numCache/>
            </c:numRef>
          </c:yVal>
          <c:smooth val="0"/>
        </c:ser>
        <c:ser>
          <c:idx val="10"/>
          <c:order val="7"/>
          <c:tx>
            <c:strRef>
              <c:f>LX4_50MMF!$R$12</c:f>
              <c:strCache>
                <c:ptCount val="1"/>
                <c:pt idx="0">
                  <c:v>R. Eye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LX4_50MMF!$A$15:$A$35</c:f>
              <c:numCache/>
            </c:numRef>
          </c:xVal>
          <c:yVal>
            <c:numRef>
              <c:f>LX4_50MMF!$R$15:$R$35</c:f>
              <c:numCache/>
            </c:numRef>
          </c:yVal>
          <c:smooth val="0"/>
        </c:ser>
        <c:ser>
          <c:idx val="7"/>
          <c:order val="8"/>
          <c:tx>
            <c:strRef>
              <c:f>LX4_50MMF!$AB$12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LX4_50MMF!$A$15:$A$35</c:f>
              <c:numCache/>
            </c:numRef>
          </c:xVal>
          <c:yVal>
            <c:numRef>
              <c:f>LX4_50MMF!$AB$15:$AB$35</c:f>
              <c:numCache/>
            </c:numRef>
          </c:yVal>
          <c:smooth val="0"/>
        </c:ser>
        <c:ser>
          <c:idx val="8"/>
          <c:order val="9"/>
          <c:tx>
            <c:strRef>
              <c:f>LX4_50MMF!$S$12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LX4_50MMF!$A$15:$A$35</c:f>
              <c:numCache/>
            </c:numRef>
          </c:xVal>
          <c:yVal>
            <c:numRef>
              <c:f>LX4_50MMF!$S$15:$S$35</c:f>
              <c:numCache/>
            </c:numRef>
          </c:yVal>
          <c:smooth val="0"/>
        </c:ser>
        <c:ser>
          <c:idx val="9"/>
          <c:order val="10"/>
          <c:tx>
            <c:strRef>
              <c:f>LX4_50MMF!$AD$13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LX4_50MMF!$AC$15:$AC$35</c:f>
              <c:numCache/>
            </c:numRef>
          </c:xVal>
          <c:yVal>
            <c:numRef>
              <c:f>LX4_50MMF!$AD$15:$AD$35</c:f>
              <c:numCache/>
            </c:numRef>
          </c:yVal>
          <c:smooth val="0"/>
        </c:ser>
        <c:axId val="49680593"/>
        <c:axId val="44472154"/>
      </c:scatterChart>
      <c:valAx>
        <c:axId val="49680593"/>
        <c:scaling>
          <c:orientation val="minMax"/>
          <c:max val="0.4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72154"/>
        <c:crosses val="autoZero"/>
        <c:crossBetween val="midCat"/>
        <c:dispUnits/>
      </c:valAx>
      <c:valAx>
        <c:axId val="4447215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805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17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7275"/>
          <c:w val="0.73875"/>
          <c:h val="0.8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LX4_SMF!$H$12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LX4_SMF!$A$15:$A$35</c:f>
              <c:numCache/>
            </c:numRef>
          </c:xVal>
          <c:yVal>
            <c:numRef>
              <c:f>LX4_SMF!$H$15:$H$35</c:f>
              <c:numCache/>
            </c:numRef>
          </c:yVal>
          <c:smooth val="0"/>
        </c:ser>
        <c:ser>
          <c:idx val="1"/>
          <c:order val="1"/>
          <c:tx>
            <c:strRef>
              <c:f>LX4_SMF!$I$12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LX4_SMF!$A$15:$A$35</c:f>
              <c:numCache/>
            </c:numRef>
          </c:xVal>
          <c:yVal>
            <c:numRef>
              <c:f>LX4_SMF!$I$15:$I$35</c:f>
              <c:numCache/>
            </c:numRef>
          </c:yVal>
          <c:smooth val="0"/>
        </c:ser>
        <c:ser>
          <c:idx val="2"/>
          <c:order val="2"/>
          <c:tx>
            <c:strRef>
              <c:f>LX4_SMF!$L$12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LX4_SMF!$A$15:$A$35</c:f>
              <c:numCache/>
            </c:numRef>
          </c:xVal>
          <c:yVal>
            <c:numRef>
              <c:f>LX4_SMF!$L$15:$L$35</c:f>
              <c:numCache/>
            </c:numRef>
          </c:yVal>
          <c:smooth val="0"/>
        </c:ser>
        <c:ser>
          <c:idx val="3"/>
          <c:order val="3"/>
          <c:tx>
            <c:strRef>
              <c:f>LX4_SMF!$N$12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LX4_SMF!$A$15:$A$35</c:f>
              <c:numCache/>
            </c:numRef>
          </c:xVal>
          <c:yVal>
            <c:numRef>
              <c:f>LX4_SMF!$N$15:$N$35</c:f>
              <c:numCache/>
            </c:numRef>
          </c:yVal>
          <c:smooth val="0"/>
        </c:ser>
        <c:ser>
          <c:idx val="4"/>
          <c:order val="4"/>
          <c:tx>
            <c:strRef>
              <c:f>LX4_SMF!$O$12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LX4_SMF!$A$15:$A$35</c:f>
              <c:numCache/>
            </c:numRef>
          </c:xVal>
          <c:yVal>
            <c:numRef>
              <c:f>LX4_SMF!$O$15:$O$35</c:f>
              <c:numCache/>
            </c:numRef>
          </c:yVal>
          <c:smooth val="0"/>
        </c:ser>
        <c:ser>
          <c:idx val="5"/>
          <c:order val="5"/>
          <c:tx>
            <c:strRef>
              <c:f>LX4_SMF!$P$12</c:f>
              <c:strCache>
                <c:ptCount val="1"/>
                <c:pt idx="0">
                  <c:v>(Per)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LX4_SMF!$A$15:$A$35</c:f>
              <c:numCache/>
            </c:numRef>
          </c:xVal>
          <c:yVal>
            <c:numRef>
              <c:f>LX4_SMF!$P$15:$P$35</c:f>
              <c:numCache/>
            </c:numRef>
          </c:yVal>
          <c:smooth val="0"/>
        </c:ser>
        <c:ser>
          <c:idx val="6"/>
          <c:order val="6"/>
          <c:tx>
            <c:strRef>
              <c:f>LX4_SMF!$Q$12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LX4_SMF!$A$15:$A$35</c:f>
              <c:numCache/>
            </c:numRef>
          </c:xVal>
          <c:yVal>
            <c:numRef>
              <c:f>LX4_SMF!$Q$15:$Q$35</c:f>
              <c:numCache/>
            </c:numRef>
          </c:yVal>
          <c:smooth val="0"/>
        </c:ser>
        <c:ser>
          <c:idx val="10"/>
          <c:order val="7"/>
          <c:tx>
            <c:strRef>
              <c:f>LX4_SMF!$R$12</c:f>
              <c:strCache>
                <c:ptCount val="1"/>
                <c:pt idx="0">
                  <c:v>R. Eye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LX4_SMF!$A$15:$A$35</c:f>
              <c:numCache/>
            </c:numRef>
          </c:xVal>
          <c:yVal>
            <c:numRef>
              <c:f>LX4_SMF!$R$15:$R$35</c:f>
              <c:numCache/>
            </c:numRef>
          </c:yVal>
          <c:smooth val="0"/>
        </c:ser>
        <c:ser>
          <c:idx val="7"/>
          <c:order val="8"/>
          <c:tx>
            <c:strRef>
              <c:f>LX4_SMF!$AB$12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LX4_SMF!$A$15:$A$35</c:f>
              <c:numCache/>
            </c:numRef>
          </c:xVal>
          <c:yVal>
            <c:numRef>
              <c:f>LX4_SMF!$AB$15:$AB$35</c:f>
              <c:numCache/>
            </c:numRef>
          </c:yVal>
          <c:smooth val="0"/>
        </c:ser>
        <c:ser>
          <c:idx val="8"/>
          <c:order val="9"/>
          <c:tx>
            <c:strRef>
              <c:f>LX4_SMF!$S$12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LX4_SMF!$A$15:$A$35</c:f>
              <c:numCache/>
            </c:numRef>
          </c:xVal>
          <c:yVal>
            <c:numRef>
              <c:f>LX4_SMF!$S$15:$S$35</c:f>
              <c:numCache/>
            </c:numRef>
          </c:yVal>
          <c:smooth val="0"/>
        </c:ser>
        <c:ser>
          <c:idx val="9"/>
          <c:order val="10"/>
          <c:tx>
            <c:strRef>
              <c:f>LX4_SMF!$AD$13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LX4_SMF!$AC$15:$AC$35</c:f>
              <c:numCache/>
            </c:numRef>
          </c:xVal>
          <c:yVal>
            <c:numRef>
              <c:f>LX4_SMF!$AD$15:$AD$35</c:f>
              <c:numCache/>
            </c:numRef>
          </c:yVal>
          <c:smooth val="0"/>
        </c:ser>
        <c:axId val="64705067"/>
        <c:axId val="45474692"/>
      </c:scatterChart>
      <c:valAx>
        <c:axId val="64705067"/>
        <c:scaling>
          <c:orientation val="minMax"/>
          <c:max val="12.5"/>
          <c:min val="7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74692"/>
        <c:crosses val="autoZero"/>
        <c:crossBetween val="midCat"/>
        <c:dispUnits/>
      </c:valAx>
      <c:valAx>
        <c:axId val="4547469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050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17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7275"/>
          <c:w val="0.73875"/>
          <c:h val="0.8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LW4_SMF!$H$12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LW4_SMF!$A$15:$A$35</c:f>
              <c:numCache/>
            </c:numRef>
          </c:xVal>
          <c:yVal>
            <c:numRef>
              <c:f>LW4_SMF!$H$15:$H$35</c:f>
              <c:numCache/>
            </c:numRef>
          </c:yVal>
          <c:smooth val="0"/>
        </c:ser>
        <c:ser>
          <c:idx val="1"/>
          <c:order val="1"/>
          <c:tx>
            <c:strRef>
              <c:f>LW4_SMF!$I$12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LW4_SMF!$A$15:$A$35</c:f>
              <c:numCache/>
            </c:numRef>
          </c:xVal>
          <c:yVal>
            <c:numRef>
              <c:f>LW4_SMF!$I$15:$I$35</c:f>
              <c:numCache/>
            </c:numRef>
          </c:yVal>
          <c:smooth val="0"/>
        </c:ser>
        <c:ser>
          <c:idx val="2"/>
          <c:order val="2"/>
          <c:tx>
            <c:strRef>
              <c:f>LW4_SMF!$L$12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LW4_SMF!$A$15:$A$35</c:f>
              <c:numCache/>
            </c:numRef>
          </c:xVal>
          <c:yVal>
            <c:numRef>
              <c:f>LW4_SMF!$L$15:$L$35</c:f>
              <c:numCache/>
            </c:numRef>
          </c:yVal>
          <c:smooth val="0"/>
        </c:ser>
        <c:ser>
          <c:idx val="3"/>
          <c:order val="3"/>
          <c:tx>
            <c:strRef>
              <c:f>LW4_SMF!$N$12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LW4_SMF!$A$15:$A$35</c:f>
              <c:numCache/>
            </c:numRef>
          </c:xVal>
          <c:yVal>
            <c:numRef>
              <c:f>LW4_SMF!$N$15:$N$35</c:f>
              <c:numCache/>
            </c:numRef>
          </c:yVal>
          <c:smooth val="0"/>
        </c:ser>
        <c:ser>
          <c:idx val="4"/>
          <c:order val="4"/>
          <c:tx>
            <c:strRef>
              <c:f>LW4_SMF!$O$12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LW4_SMF!$A$15:$A$35</c:f>
              <c:numCache/>
            </c:numRef>
          </c:xVal>
          <c:yVal>
            <c:numRef>
              <c:f>LW4_SMF!$O$15:$O$35</c:f>
              <c:numCache/>
            </c:numRef>
          </c:yVal>
          <c:smooth val="0"/>
        </c:ser>
        <c:ser>
          <c:idx val="5"/>
          <c:order val="5"/>
          <c:tx>
            <c:strRef>
              <c:f>LW4_SMF!$P$12</c:f>
              <c:strCache>
                <c:ptCount val="1"/>
                <c:pt idx="0">
                  <c:v>(Per)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LW4_SMF!$A$15:$A$35</c:f>
              <c:numCache/>
            </c:numRef>
          </c:xVal>
          <c:yVal>
            <c:numRef>
              <c:f>LW4_SMF!$P$15:$P$35</c:f>
              <c:numCache/>
            </c:numRef>
          </c:yVal>
          <c:smooth val="0"/>
        </c:ser>
        <c:ser>
          <c:idx val="6"/>
          <c:order val="6"/>
          <c:tx>
            <c:strRef>
              <c:f>LW4_SMF!$Q$12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LW4_SMF!$A$15:$A$35</c:f>
              <c:numCache/>
            </c:numRef>
          </c:xVal>
          <c:yVal>
            <c:numRef>
              <c:f>LW4_SMF!$Q$15:$Q$35</c:f>
              <c:numCache/>
            </c:numRef>
          </c:yVal>
          <c:smooth val="0"/>
        </c:ser>
        <c:ser>
          <c:idx val="10"/>
          <c:order val="7"/>
          <c:tx>
            <c:strRef>
              <c:f>LW4_SMF!$R$12</c:f>
              <c:strCache>
                <c:ptCount val="1"/>
                <c:pt idx="0">
                  <c:v>R. Eye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LW4_SMF!$A$15:$A$35</c:f>
              <c:numCache/>
            </c:numRef>
          </c:xVal>
          <c:yVal>
            <c:numRef>
              <c:f>LW4_SMF!$R$15:$R$35</c:f>
              <c:numCache/>
            </c:numRef>
          </c:yVal>
          <c:smooth val="0"/>
        </c:ser>
        <c:ser>
          <c:idx val="7"/>
          <c:order val="8"/>
          <c:tx>
            <c:strRef>
              <c:f>LW4_SMF!$AB$12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LW4_SMF!$A$15:$A$35</c:f>
              <c:numCache/>
            </c:numRef>
          </c:xVal>
          <c:yVal>
            <c:numRef>
              <c:f>LW4_SMF!$AB$15:$AB$35</c:f>
              <c:numCache/>
            </c:numRef>
          </c:yVal>
          <c:smooth val="0"/>
        </c:ser>
        <c:ser>
          <c:idx val="8"/>
          <c:order val="9"/>
          <c:tx>
            <c:strRef>
              <c:f>LW4_SMF!$S$12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LW4_SMF!$A$15:$A$35</c:f>
              <c:numCache/>
            </c:numRef>
          </c:xVal>
          <c:yVal>
            <c:numRef>
              <c:f>LW4_SMF!$S$15:$S$35</c:f>
              <c:numCache/>
            </c:numRef>
          </c:yVal>
          <c:smooth val="0"/>
        </c:ser>
        <c:ser>
          <c:idx val="9"/>
          <c:order val="10"/>
          <c:tx>
            <c:strRef>
              <c:f>LW4_SMF!$AD$13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LW4_SMF!$AC$15:$AC$35</c:f>
              <c:numCache/>
            </c:numRef>
          </c:xVal>
          <c:yVal>
            <c:numRef>
              <c:f>LW4_SMF!$AD$15:$AD$35</c:f>
              <c:numCache/>
            </c:numRef>
          </c:yVal>
          <c:smooth val="0"/>
        </c:ser>
        <c:axId val="6619045"/>
        <c:axId val="59571406"/>
      </c:scatterChart>
      <c:valAx>
        <c:axId val="6619045"/>
        <c:scaling>
          <c:orientation val="minMax"/>
          <c:max val="12.5"/>
          <c:min val="7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71406"/>
        <c:crosses val="autoZero"/>
        <c:crossBetween val="midCat"/>
        <c:dispUnits/>
      </c:valAx>
      <c:valAx>
        <c:axId val="5957140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90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17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695"/>
          <c:w val="0.75075"/>
          <c:h val="0.83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'1300serialSMF'!$H$12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'1300serialSMF'!$A$15:$A$35</c:f>
              <c:numCache/>
            </c:numRef>
          </c:xVal>
          <c:yVal>
            <c:numRef>
              <c:f>'1300serialSMF'!$H$15:$H$35</c:f>
              <c:numCache/>
            </c:numRef>
          </c:yVal>
          <c:smooth val="0"/>
        </c:ser>
        <c:ser>
          <c:idx val="1"/>
          <c:order val="1"/>
          <c:tx>
            <c:strRef>
              <c:f>'1300serialSMF'!$I$12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'1300serialSMF'!$A$15:$A$35</c:f>
              <c:numCache/>
            </c:numRef>
          </c:xVal>
          <c:yVal>
            <c:numRef>
              <c:f>'1300serialSMF'!$I$15:$I$35</c:f>
              <c:numCache/>
            </c:numRef>
          </c:yVal>
          <c:smooth val="0"/>
        </c:ser>
        <c:ser>
          <c:idx val="2"/>
          <c:order val="2"/>
          <c:tx>
            <c:strRef>
              <c:f>'1300serialSMF'!$L$12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'1300serialSMF'!$A$15:$A$35</c:f>
              <c:numCache/>
            </c:numRef>
          </c:xVal>
          <c:yVal>
            <c:numRef>
              <c:f>'1300serialSMF'!$L$15:$L$35</c:f>
              <c:numCache/>
            </c:numRef>
          </c:yVal>
          <c:smooth val="0"/>
        </c:ser>
        <c:ser>
          <c:idx val="3"/>
          <c:order val="3"/>
          <c:tx>
            <c:strRef>
              <c:f>'1300serialSMF'!$N$12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'1300serialSMF'!$A$15:$A$35</c:f>
              <c:numCache/>
            </c:numRef>
          </c:xVal>
          <c:yVal>
            <c:numRef>
              <c:f>'1300serialSMF'!$N$15:$N$35</c:f>
              <c:numCache/>
            </c:numRef>
          </c:yVal>
          <c:smooth val="0"/>
        </c:ser>
        <c:ser>
          <c:idx val="4"/>
          <c:order val="4"/>
          <c:tx>
            <c:strRef>
              <c:f>'1300serialSMF'!$O$12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'1300serialSMF'!$A$15:$A$35</c:f>
              <c:numCache/>
            </c:numRef>
          </c:xVal>
          <c:yVal>
            <c:numRef>
              <c:f>'1300serialSMF'!$O$15:$O$35</c:f>
              <c:numCache/>
            </c:numRef>
          </c:yVal>
          <c:smooth val="0"/>
        </c:ser>
        <c:ser>
          <c:idx val="5"/>
          <c:order val="5"/>
          <c:tx>
            <c:strRef>
              <c:f>'1300serialSMF'!$P$12</c:f>
              <c:strCache>
                <c:ptCount val="1"/>
                <c:pt idx="0">
                  <c:v>(Per)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'1300serialSMF'!$A$15:$A$35</c:f>
              <c:numCache/>
            </c:numRef>
          </c:xVal>
          <c:yVal>
            <c:numRef>
              <c:f>'1300serialSMF'!$P$15:$P$35</c:f>
              <c:numCache/>
            </c:numRef>
          </c:yVal>
          <c:smooth val="0"/>
        </c:ser>
        <c:ser>
          <c:idx val="6"/>
          <c:order val="6"/>
          <c:tx>
            <c:strRef>
              <c:f>'1300serialSMF'!$Q$12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'1300serialSMF'!$A$15:$A$35</c:f>
              <c:numCache/>
            </c:numRef>
          </c:xVal>
          <c:yVal>
            <c:numRef>
              <c:f>'1300serialSMF'!$Q$15:$Q$35</c:f>
              <c:numCache/>
            </c:numRef>
          </c:yVal>
          <c:smooth val="0"/>
        </c:ser>
        <c:ser>
          <c:idx val="10"/>
          <c:order val="7"/>
          <c:tx>
            <c:strRef>
              <c:f>'1300serialSMF'!$R$12</c:f>
              <c:strCache>
                <c:ptCount val="1"/>
                <c:pt idx="0">
                  <c:v>R. Eye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'1300serialSMF'!$A$15:$A$35</c:f>
              <c:numCache/>
            </c:numRef>
          </c:xVal>
          <c:yVal>
            <c:numRef>
              <c:f>'1300serialSMF'!$R$15:$R$35</c:f>
              <c:numCache/>
            </c:numRef>
          </c:yVal>
          <c:smooth val="0"/>
        </c:ser>
        <c:ser>
          <c:idx val="7"/>
          <c:order val="8"/>
          <c:tx>
            <c:strRef>
              <c:f>'1300serialSMF'!$AB$12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'1300serialSMF'!$A$15:$A$35</c:f>
              <c:numCache/>
            </c:numRef>
          </c:xVal>
          <c:yVal>
            <c:numRef>
              <c:f>'1300serialSMF'!$AB$15:$AB$35</c:f>
              <c:numCache/>
            </c:numRef>
          </c:yVal>
          <c:smooth val="0"/>
        </c:ser>
        <c:ser>
          <c:idx val="8"/>
          <c:order val="9"/>
          <c:tx>
            <c:strRef>
              <c:f>'1300serialSMF'!$S$12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'1300serialSMF'!$A$15:$A$35</c:f>
              <c:numCache/>
            </c:numRef>
          </c:xVal>
          <c:yVal>
            <c:numRef>
              <c:f>'1300serialSMF'!$S$15:$S$35</c:f>
              <c:numCache/>
            </c:numRef>
          </c:yVal>
          <c:smooth val="0"/>
        </c:ser>
        <c:ser>
          <c:idx val="9"/>
          <c:order val="10"/>
          <c:tx>
            <c:strRef>
              <c:f>'1300serialSMF'!$AD$13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'1300serialSMF'!$AC$15:$AC$35</c:f>
              <c:numCache/>
            </c:numRef>
          </c:xVal>
          <c:yVal>
            <c:numRef>
              <c:f>'1300serialSMF'!$AD$15:$AD$35</c:f>
              <c:numCache/>
            </c:numRef>
          </c:yVal>
          <c:smooth val="0"/>
        </c:ser>
        <c:axId val="66380607"/>
        <c:axId val="60554552"/>
      </c:scatterChart>
      <c:valAx>
        <c:axId val="66380607"/>
        <c:scaling>
          <c:orientation val="minMax"/>
          <c:max val="12.5"/>
          <c:min val="7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54552"/>
        <c:crosses val="autoZero"/>
        <c:crossBetween val="midCat"/>
        <c:dispUnits/>
      </c:valAx>
      <c:valAx>
        <c:axId val="6055455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806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19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7175"/>
          <c:w val="0.7497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'1550SMF'!$H$12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'1550SMF'!$A$15:$A$35</c:f>
              <c:numCache/>
            </c:numRef>
          </c:xVal>
          <c:yVal>
            <c:numRef>
              <c:f>'1550SMF'!$H$15:$H$35</c:f>
              <c:numCache/>
            </c:numRef>
          </c:yVal>
          <c:smooth val="0"/>
        </c:ser>
        <c:ser>
          <c:idx val="1"/>
          <c:order val="1"/>
          <c:tx>
            <c:strRef>
              <c:f>'1550SMF'!$I$12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'1550SMF'!$A$15:$A$35</c:f>
              <c:numCache/>
            </c:numRef>
          </c:xVal>
          <c:yVal>
            <c:numRef>
              <c:f>'1550SMF'!$I$15:$I$35</c:f>
              <c:numCache/>
            </c:numRef>
          </c:yVal>
          <c:smooth val="0"/>
        </c:ser>
        <c:ser>
          <c:idx val="2"/>
          <c:order val="2"/>
          <c:tx>
            <c:strRef>
              <c:f>'1550SMF'!$L$12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'1550SMF'!$A$15:$A$35</c:f>
              <c:numCache/>
            </c:numRef>
          </c:xVal>
          <c:yVal>
            <c:numRef>
              <c:f>'1550SMF'!$L$15:$L$35</c:f>
              <c:numCache/>
            </c:numRef>
          </c:yVal>
          <c:smooth val="0"/>
        </c:ser>
        <c:ser>
          <c:idx val="3"/>
          <c:order val="3"/>
          <c:tx>
            <c:strRef>
              <c:f>'1550SMF'!$N$12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'1550SMF'!$A$15:$A$35</c:f>
              <c:numCache/>
            </c:numRef>
          </c:xVal>
          <c:yVal>
            <c:numRef>
              <c:f>'1550SMF'!$N$15:$N$35</c:f>
              <c:numCache/>
            </c:numRef>
          </c:yVal>
          <c:smooth val="0"/>
        </c:ser>
        <c:ser>
          <c:idx val="4"/>
          <c:order val="4"/>
          <c:tx>
            <c:strRef>
              <c:f>'1550SMF'!$O$12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'1550SMF'!$A$15:$A$35</c:f>
              <c:numCache/>
            </c:numRef>
          </c:xVal>
          <c:yVal>
            <c:numRef>
              <c:f>'1550SMF'!$O$15:$O$35</c:f>
              <c:numCache/>
            </c:numRef>
          </c:yVal>
          <c:smooth val="0"/>
        </c:ser>
        <c:ser>
          <c:idx val="5"/>
          <c:order val="5"/>
          <c:tx>
            <c:strRef>
              <c:f>'1550SMF'!$P$12</c:f>
              <c:strCache>
                <c:ptCount val="1"/>
                <c:pt idx="0">
                  <c:v>(Per)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'1550SMF'!$A$15:$A$35</c:f>
              <c:numCache/>
            </c:numRef>
          </c:xVal>
          <c:yVal>
            <c:numRef>
              <c:f>'1550SMF'!$P$15:$P$35</c:f>
              <c:numCache/>
            </c:numRef>
          </c:yVal>
          <c:smooth val="0"/>
        </c:ser>
        <c:ser>
          <c:idx val="6"/>
          <c:order val="6"/>
          <c:tx>
            <c:strRef>
              <c:f>'1550SMF'!$Q$12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'1550SMF'!$A$15:$A$35</c:f>
              <c:numCache/>
            </c:numRef>
          </c:xVal>
          <c:yVal>
            <c:numRef>
              <c:f>'1550SMF'!$Q$15:$Q$35</c:f>
              <c:numCache/>
            </c:numRef>
          </c:yVal>
          <c:smooth val="0"/>
        </c:ser>
        <c:ser>
          <c:idx val="10"/>
          <c:order val="7"/>
          <c:tx>
            <c:strRef>
              <c:f>'1550SMF'!$R$12</c:f>
              <c:strCache>
                <c:ptCount val="1"/>
                <c:pt idx="0">
                  <c:v>R. Eye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'1550SMF'!$A$15:$A$35</c:f>
              <c:numCache/>
            </c:numRef>
          </c:xVal>
          <c:yVal>
            <c:numRef>
              <c:f>'1550SMF'!$R$15:$R$35</c:f>
              <c:numCache/>
            </c:numRef>
          </c:yVal>
          <c:smooth val="0"/>
        </c:ser>
        <c:ser>
          <c:idx val="7"/>
          <c:order val="8"/>
          <c:tx>
            <c:strRef>
              <c:f>'1550SMF'!$AB$12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'1550SMF'!$A$15:$A$35</c:f>
              <c:numCache/>
            </c:numRef>
          </c:xVal>
          <c:yVal>
            <c:numRef>
              <c:f>'1550SMF'!$AB$15:$AB$35</c:f>
              <c:numCache/>
            </c:numRef>
          </c:yVal>
          <c:smooth val="0"/>
        </c:ser>
        <c:ser>
          <c:idx val="8"/>
          <c:order val="9"/>
          <c:tx>
            <c:strRef>
              <c:f>'1550SMF'!$S$12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'1550SMF'!$A$15:$A$35</c:f>
              <c:numCache/>
            </c:numRef>
          </c:xVal>
          <c:yVal>
            <c:numRef>
              <c:f>'1550SMF'!$S$15:$S$35</c:f>
              <c:numCache/>
            </c:numRef>
          </c:yVal>
          <c:smooth val="0"/>
        </c:ser>
        <c:ser>
          <c:idx val="9"/>
          <c:order val="10"/>
          <c:tx>
            <c:strRef>
              <c:f>'1550SMF'!$AD$13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'1550SMF'!$AC$15:$AC$35</c:f>
              <c:numCache/>
            </c:numRef>
          </c:xVal>
          <c:yVal>
            <c:numRef>
              <c:f>'1550SMF'!$AD$15:$AD$35</c:f>
              <c:numCache/>
            </c:numRef>
          </c:yVal>
          <c:smooth val="0"/>
        </c:ser>
        <c:axId val="8120057"/>
        <c:axId val="5971650"/>
      </c:scatterChart>
      <c:valAx>
        <c:axId val="8120057"/>
        <c:scaling>
          <c:orientation val="minMax"/>
          <c:max val="5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1650"/>
        <c:crosses val="autoZero"/>
        <c:crossBetween val="midCat"/>
        <c:dispUnits/>
      </c:valAx>
      <c:valAx>
        <c:axId val="5971650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200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19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35</xdr:row>
      <xdr:rowOff>0</xdr:rowOff>
    </xdr:from>
    <xdr:to>
      <xdr:col>22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7677150" y="6677025"/>
        <a:ext cx="4676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35</xdr:row>
      <xdr:rowOff>0</xdr:rowOff>
    </xdr:from>
    <xdr:to>
      <xdr:col>22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7677150" y="6677025"/>
        <a:ext cx="4676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35</xdr:row>
      <xdr:rowOff>0</xdr:rowOff>
    </xdr:from>
    <xdr:to>
      <xdr:col>22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7677150" y="6677025"/>
        <a:ext cx="4676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35</xdr:row>
      <xdr:rowOff>0</xdr:rowOff>
    </xdr:from>
    <xdr:to>
      <xdr:col>22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7677150" y="6677025"/>
        <a:ext cx="4676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35</xdr:row>
      <xdr:rowOff>0</xdr:rowOff>
    </xdr:from>
    <xdr:to>
      <xdr:col>22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7648575" y="6677025"/>
        <a:ext cx="47053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35</xdr:row>
      <xdr:rowOff>0</xdr:rowOff>
    </xdr:from>
    <xdr:to>
      <xdr:col>22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7667625" y="6677025"/>
        <a:ext cx="4686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35</xdr:row>
      <xdr:rowOff>0</xdr:rowOff>
    </xdr:from>
    <xdr:to>
      <xdr:col>22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7667625" y="6677025"/>
        <a:ext cx="4686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35</xdr:row>
      <xdr:rowOff>0</xdr:rowOff>
    </xdr:from>
    <xdr:to>
      <xdr:col>22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7667625" y="6677025"/>
        <a:ext cx="4686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35</xdr:row>
      <xdr:rowOff>0</xdr:rowOff>
    </xdr:from>
    <xdr:to>
      <xdr:col>22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7667625" y="6677025"/>
        <a:ext cx="4686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3/10G_study/public/email_attach/All_1250.xls" TargetMode="External" /><Relationship Id="rId2" Type="http://schemas.openxmlformats.org/officeDocument/2006/relationships/hyperlink" Target="http://grouper.ieee.org/groups/802/3/10G_study/public/email_attach/All_1250.xls" TargetMode="External" /><Relationship Id="rId3" Type="http://schemas.openxmlformats.org/officeDocument/2006/relationships/hyperlink" Target="http://grouper.ieee.org/groups/802/3/10G_study/public/email_attach/All_1250v2.xls" TargetMode="External" /><Relationship Id="rId4" Type="http://schemas.openxmlformats.org/officeDocument/2006/relationships/hyperlink" Target="http://www.ieee802.org/3/ae/public/email_attach/10GEPBud2_4_1.xls" TargetMode="External" /><Relationship Id="rId5" Type="http://schemas.openxmlformats.org/officeDocument/2006/relationships/hyperlink" Target="http://www.ieee802.org/3/ae/public/jul00/dawe_1_0700.pdf" TargetMode="Externa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7.140625" style="164" customWidth="1"/>
    <col min="2" max="2" width="7.8515625" style="164" customWidth="1"/>
    <col min="3" max="3" width="6.00390625" style="164" customWidth="1"/>
    <col min="4" max="4" width="12.00390625" style="164" bestFit="1" customWidth="1"/>
    <col min="5" max="5" width="11.421875" style="164" customWidth="1"/>
    <col min="6" max="16384" width="9.140625" style="164" customWidth="1"/>
  </cols>
  <sheetData>
    <row r="1" spans="1:8" ht="15.75">
      <c r="A1" s="79" t="s">
        <v>222</v>
      </c>
      <c r="E1" s="209">
        <v>36879</v>
      </c>
      <c r="F1" s="220" t="s">
        <v>1</v>
      </c>
      <c r="G1" s="219" t="s">
        <v>185</v>
      </c>
      <c r="H1" s="164" t="s">
        <v>140</v>
      </c>
    </row>
    <row r="2" spans="1:3" ht="15">
      <c r="A2" s="164" t="s">
        <v>142</v>
      </c>
      <c r="C2" s="211" t="s">
        <v>231</v>
      </c>
    </row>
    <row r="3" ht="15.75">
      <c r="A3" s="79" t="s">
        <v>196</v>
      </c>
    </row>
    <row r="4" ht="15">
      <c r="A4" s="164" t="s">
        <v>127</v>
      </c>
    </row>
    <row r="5" ht="15">
      <c r="B5" s="164" t="s">
        <v>183</v>
      </c>
    </row>
    <row r="6" ht="15">
      <c r="B6" s="164" t="s">
        <v>128</v>
      </c>
    </row>
    <row r="7" spans="1:4" s="208" customFormat="1" ht="15">
      <c r="A7" s="164" t="s">
        <v>180</v>
      </c>
      <c r="D7" s="209"/>
    </row>
    <row r="8" spans="1:4" s="208" customFormat="1" ht="15">
      <c r="A8" s="164"/>
      <c r="B8" s="164" t="s">
        <v>181</v>
      </c>
      <c r="D8" s="209"/>
    </row>
    <row r="9" spans="1:4" s="208" customFormat="1" ht="15">
      <c r="A9" s="164"/>
      <c r="B9" s="164" t="s">
        <v>182</v>
      </c>
      <c r="D9" s="209"/>
    </row>
    <row r="10" spans="1:4" s="208" customFormat="1" ht="15">
      <c r="A10" s="164"/>
      <c r="B10" s="164" t="s">
        <v>203</v>
      </c>
      <c r="D10" s="209"/>
    </row>
    <row r="11" spans="1:4" s="208" customFormat="1" ht="15">
      <c r="A11" s="164" t="s">
        <v>188</v>
      </c>
      <c r="B11" s="164"/>
      <c r="D11" s="209"/>
    </row>
    <row r="12" spans="1:4" s="208" customFormat="1" ht="15">
      <c r="A12" s="164"/>
      <c r="B12" s="164" t="s">
        <v>189</v>
      </c>
      <c r="D12" s="209"/>
    </row>
    <row r="13" spans="1:4" s="208" customFormat="1" ht="15">
      <c r="A13" s="164"/>
      <c r="B13" s="164" t="s">
        <v>199</v>
      </c>
      <c r="D13" s="209"/>
    </row>
    <row r="14" spans="1:4" s="208" customFormat="1" ht="15">
      <c r="A14" s="208" t="s">
        <v>190</v>
      </c>
      <c r="B14" s="164"/>
      <c r="D14" s="209"/>
    </row>
    <row r="15" s="208" customFormat="1" ht="15">
      <c r="A15" s="208" t="s">
        <v>126</v>
      </c>
    </row>
    <row r="16" spans="1:11" s="237" customFormat="1" ht="15.75">
      <c r="A16" s="213" t="s">
        <v>161</v>
      </c>
      <c r="B16" s="214"/>
      <c r="D16" s="260">
        <v>36881</v>
      </c>
      <c r="E16" s="215" t="s">
        <v>1</v>
      </c>
      <c r="F16" s="216" t="s">
        <v>210</v>
      </c>
      <c r="G16" s="217" t="s">
        <v>230</v>
      </c>
      <c r="I16" s="217"/>
      <c r="J16" s="217"/>
      <c r="K16" s="217"/>
    </row>
    <row r="17" spans="1:11" s="208" customFormat="1" ht="15">
      <c r="A17" s="218" t="s">
        <v>110</v>
      </c>
      <c r="B17" s="51"/>
      <c r="C17" s="51"/>
      <c r="D17" s="163"/>
      <c r="E17" s="51"/>
      <c r="F17" s="51"/>
      <c r="G17" s="162"/>
      <c r="H17" s="126"/>
      <c r="I17" s="126"/>
      <c r="J17" s="126"/>
      <c r="K17" s="49"/>
    </row>
    <row r="18" spans="1:11" ht="15">
      <c r="A18" s="23"/>
      <c r="B18" s="280" t="s">
        <v>61</v>
      </c>
      <c r="C18" s="281"/>
      <c r="D18" s="281"/>
      <c r="E18" s="281"/>
      <c r="F18" s="281"/>
      <c r="G18" s="281"/>
      <c r="H18" s="281"/>
      <c r="I18" s="281"/>
      <c r="J18" s="281"/>
      <c r="K18" s="281"/>
    </row>
    <row r="19" spans="1:11" ht="15">
      <c r="A19" s="24" t="s">
        <v>105</v>
      </c>
      <c r="B19" s="22" t="s">
        <v>62</v>
      </c>
      <c r="C19" s="22"/>
      <c r="D19" s="21"/>
      <c r="E19" s="22"/>
      <c r="F19" s="22"/>
      <c r="G19" s="28"/>
      <c r="H19" s="23"/>
      <c r="I19" s="23"/>
      <c r="J19" s="23"/>
      <c r="K19" s="23"/>
    </row>
    <row r="20" spans="1:11" ht="15">
      <c r="A20" s="24" t="s">
        <v>105</v>
      </c>
      <c r="B20" s="22" t="s">
        <v>63</v>
      </c>
      <c r="C20" s="22"/>
      <c r="D20" s="21"/>
      <c r="E20" s="22"/>
      <c r="F20" s="22"/>
      <c r="G20" s="28"/>
      <c r="H20" s="23"/>
      <c r="I20" s="23"/>
      <c r="J20" s="23"/>
      <c r="K20" s="23"/>
    </row>
    <row r="21" spans="1:11" ht="15">
      <c r="A21" s="28"/>
      <c r="B21" s="26" t="s">
        <v>82</v>
      </c>
      <c r="C21" s="26"/>
      <c r="D21" s="21"/>
      <c r="E21" s="22"/>
      <c r="F21" s="22"/>
      <c r="G21" s="28"/>
      <c r="H21" s="23"/>
      <c r="I21" s="23"/>
      <c r="J21" s="23"/>
      <c r="K21" s="23"/>
    </row>
    <row r="22" spans="1:11" ht="15">
      <c r="A22" s="28"/>
      <c r="B22" s="22" t="s">
        <v>79</v>
      </c>
      <c r="C22" s="26"/>
      <c r="D22" s="21"/>
      <c r="E22" s="22"/>
      <c r="F22" s="22"/>
      <c r="G22" s="28"/>
      <c r="H22" s="23"/>
      <c r="I22" s="23"/>
      <c r="J22" s="23"/>
      <c r="K22" s="23"/>
    </row>
    <row r="23" spans="1:11" ht="15">
      <c r="A23" s="28"/>
      <c r="B23" s="22" t="s">
        <v>78</v>
      </c>
      <c r="C23" s="26"/>
      <c r="D23" s="21"/>
      <c r="E23" s="22"/>
      <c r="F23" s="22"/>
      <c r="G23" s="28"/>
      <c r="H23" s="23"/>
      <c r="I23" s="23"/>
      <c r="J23" s="23"/>
      <c r="K23" s="23"/>
    </row>
    <row r="24" spans="2:11" ht="15">
      <c r="B24" s="22" t="s">
        <v>81</v>
      </c>
      <c r="C24" s="26"/>
      <c r="D24" s="21"/>
      <c r="E24" s="22"/>
      <c r="F24" s="22"/>
      <c r="G24" s="28"/>
      <c r="H24" s="23"/>
      <c r="I24" s="23"/>
      <c r="J24" s="23"/>
      <c r="K24" s="23"/>
    </row>
    <row r="25" spans="2:11" ht="15">
      <c r="B25" s="22" t="s">
        <v>80</v>
      </c>
      <c r="C25" s="26"/>
      <c r="D25" s="21"/>
      <c r="E25" s="22"/>
      <c r="F25" s="22"/>
      <c r="G25" s="28"/>
      <c r="H25" s="23"/>
      <c r="I25" s="23"/>
      <c r="J25" s="23"/>
      <c r="K25" s="23"/>
    </row>
    <row r="26" spans="1:11" ht="15">
      <c r="A26" s="24" t="s">
        <v>105</v>
      </c>
      <c r="B26" s="22" t="s">
        <v>106</v>
      </c>
      <c r="C26" s="22"/>
      <c r="D26" s="21"/>
      <c r="E26" s="22"/>
      <c r="F26" s="22"/>
      <c r="G26" s="28"/>
      <c r="H26" s="23"/>
      <c r="I26" s="23"/>
      <c r="J26" s="23"/>
      <c r="K26" s="23"/>
    </row>
    <row r="27" spans="1:11" ht="15">
      <c r="A27" s="28"/>
      <c r="B27" s="22" t="s">
        <v>107</v>
      </c>
      <c r="C27" s="22"/>
      <c r="D27" s="21"/>
      <c r="E27" s="22"/>
      <c r="F27" s="22"/>
      <c r="G27" s="28"/>
      <c r="H27" s="23"/>
      <c r="I27" s="23"/>
      <c r="J27" s="23"/>
      <c r="K27" s="23"/>
    </row>
    <row r="28" spans="1:11" ht="15">
      <c r="A28" s="24" t="s">
        <v>105</v>
      </c>
      <c r="B28" s="141" t="s">
        <v>104</v>
      </c>
      <c r="C28" s="22"/>
      <c r="D28" s="21"/>
      <c r="E28" s="22"/>
      <c r="F28" s="22"/>
      <c r="G28" s="28"/>
      <c r="H28" s="23"/>
      <c r="I28" s="23"/>
      <c r="J28" s="23"/>
      <c r="K28" s="23"/>
    </row>
    <row r="29" spans="1:11" ht="15">
      <c r="A29" s="24" t="s">
        <v>105</v>
      </c>
      <c r="B29" s="141" t="s">
        <v>103</v>
      </c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11" ht="15">
      <c r="A30" s="24" t="s">
        <v>105</v>
      </c>
      <c r="B30" s="141" t="s">
        <v>102</v>
      </c>
      <c r="C30" s="141"/>
      <c r="D30" s="141"/>
      <c r="E30" s="141"/>
      <c r="F30" s="141"/>
      <c r="G30" s="141"/>
      <c r="H30" s="141"/>
      <c r="I30" s="141"/>
      <c r="J30" s="141"/>
      <c r="K30" s="141"/>
    </row>
    <row r="31" spans="1:11" ht="15">
      <c r="A31" s="29" t="s">
        <v>131</v>
      </c>
      <c r="C31" s="141"/>
      <c r="D31" s="141"/>
      <c r="E31" s="141"/>
      <c r="F31" s="141"/>
      <c r="G31" s="141"/>
      <c r="H31" s="141"/>
      <c r="I31" s="141"/>
      <c r="J31" s="141"/>
      <c r="K31" s="141"/>
    </row>
    <row r="32" spans="1:11" ht="15">
      <c r="A32" s="23"/>
      <c r="B32" s="280" t="s">
        <v>111</v>
      </c>
      <c r="C32" s="282"/>
      <c r="D32" s="282"/>
      <c r="E32" s="282"/>
      <c r="F32" s="282"/>
      <c r="G32" s="282"/>
      <c r="H32" s="282"/>
      <c r="I32" s="282"/>
      <c r="J32" s="282"/>
      <c r="K32" s="282"/>
    </row>
    <row r="33" spans="1:2" ht="15">
      <c r="A33" s="24" t="s">
        <v>105</v>
      </c>
      <c r="B33" s="164" t="s">
        <v>113</v>
      </c>
    </row>
    <row r="34" ht="15">
      <c r="B34" s="164" t="s">
        <v>112</v>
      </c>
    </row>
    <row r="35" spans="1:2" ht="15">
      <c r="A35" s="24" t="s">
        <v>105</v>
      </c>
      <c r="B35" s="164" t="s">
        <v>125</v>
      </c>
    </row>
    <row r="36" spans="1:2" ht="15">
      <c r="A36" s="24" t="s">
        <v>105</v>
      </c>
      <c r="B36" s="164" t="s">
        <v>124</v>
      </c>
    </row>
    <row r="37" spans="1:2" ht="15">
      <c r="A37" s="24" t="s">
        <v>105</v>
      </c>
      <c r="B37" s="164" t="s">
        <v>138</v>
      </c>
    </row>
    <row r="38" spans="1:2" ht="15">
      <c r="A38" s="24" t="s">
        <v>105</v>
      </c>
      <c r="B38" s="164" t="s">
        <v>139</v>
      </c>
    </row>
    <row r="39" ht="15">
      <c r="A39" s="164" t="s">
        <v>147</v>
      </c>
    </row>
    <row r="40" spans="1:2" ht="15">
      <c r="A40" s="24" t="s">
        <v>105</v>
      </c>
      <c r="B40" s="259" t="s">
        <v>173</v>
      </c>
    </row>
    <row r="41" spans="1:3" ht="15">
      <c r="A41" s="24"/>
      <c r="C41" s="164" t="s">
        <v>148</v>
      </c>
    </row>
    <row r="42" ht="15">
      <c r="C42" s="164" t="s">
        <v>149</v>
      </c>
    </row>
    <row r="43" ht="15">
      <c r="C43" s="164" t="s">
        <v>150</v>
      </c>
    </row>
    <row r="44" ht="15">
      <c r="C44" s="164" t="s">
        <v>151</v>
      </c>
    </row>
    <row r="45" spans="1:2" ht="15">
      <c r="A45" s="24" t="s">
        <v>105</v>
      </c>
      <c r="B45" s="259" t="s">
        <v>156</v>
      </c>
    </row>
    <row r="46" ht="15">
      <c r="B46" s="164" t="s">
        <v>159</v>
      </c>
    </row>
    <row r="47" ht="15">
      <c r="A47" s="164" t="s">
        <v>184</v>
      </c>
    </row>
    <row r="48" spans="1:2" ht="15">
      <c r="A48" s="24" t="s">
        <v>105</v>
      </c>
      <c r="B48" s="259" t="s">
        <v>174</v>
      </c>
    </row>
    <row r="49" s="208" customFormat="1" ht="15">
      <c r="C49" s="164" t="s">
        <v>171</v>
      </c>
    </row>
    <row r="50" spans="1:3" s="208" customFormat="1" ht="15">
      <c r="A50" s="24"/>
      <c r="B50" s="164"/>
      <c r="C50" s="208" t="s">
        <v>169</v>
      </c>
    </row>
    <row r="51" spans="1:3" s="208" customFormat="1" ht="15">
      <c r="A51" s="24"/>
      <c r="B51" s="164"/>
      <c r="C51" s="208" t="s">
        <v>170</v>
      </c>
    </row>
    <row r="52" spans="1:2" s="208" customFormat="1" ht="15">
      <c r="A52" s="24"/>
      <c r="B52" s="208" t="s">
        <v>172</v>
      </c>
    </row>
    <row r="53" spans="1:2" s="208" customFormat="1" ht="15">
      <c r="A53" s="52"/>
      <c r="B53" s="208" t="s">
        <v>227</v>
      </c>
    </row>
    <row r="54" spans="1:3" s="208" customFormat="1" ht="15">
      <c r="A54" s="52"/>
      <c r="C54" s="208" t="s">
        <v>221</v>
      </c>
    </row>
    <row r="55" spans="1:2" s="208" customFormat="1" ht="15">
      <c r="A55" s="52"/>
      <c r="B55" s="208" t="s">
        <v>218</v>
      </c>
    </row>
    <row r="56" spans="1:3" s="208" customFormat="1" ht="15">
      <c r="A56" s="52"/>
      <c r="C56" s="208" t="s">
        <v>219</v>
      </c>
    </row>
    <row r="57" s="237" customFormat="1" ht="15.75">
      <c r="A57" s="213" t="s">
        <v>160</v>
      </c>
    </row>
    <row r="58" s="208" customFormat="1" ht="15">
      <c r="A58" s="266" t="s">
        <v>201</v>
      </c>
    </row>
    <row r="59" ht="15">
      <c r="B59" s="164" t="s">
        <v>202</v>
      </c>
    </row>
    <row r="60" ht="15">
      <c r="B60" s="164" t="s">
        <v>200</v>
      </c>
    </row>
    <row r="61" ht="15">
      <c r="A61" s="164" t="s">
        <v>167</v>
      </c>
    </row>
    <row r="62" ht="15">
      <c r="A62" s="164" t="s">
        <v>162</v>
      </c>
    </row>
    <row r="63" ht="15">
      <c r="A63" s="164" t="s">
        <v>168</v>
      </c>
    </row>
    <row r="64" ht="15">
      <c r="A64" s="164" t="s">
        <v>206</v>
      </c>
    </row>
    <row r="65" ht="15">
      <c r="A65" s="164" t="s">
        <v>192</v>
      </c>
    </row>
    <row r="66" ht="15">
      <c r="A66" s="164" t="s">
        <v>197</v>
      </c>
    </row>
    <row r="67" ht="15">
      <c r="A67" s="164" t="s">
        <v>198</v>
      </c>
    </row>
    <row r="68" ht="15">
      <c r="A68" s="164" t="s">
        <v>228</v>
      </c>
    </row>
    <row r="69" ht="15">
      <c r="B69" s="164" t="s">
        <v>209</v>
      </c>
    </row>
    <row r="70" ht="15">
      <c r="A70" s="164" t="s">
        <v>205</v>
      </c>
    </row>
    <row r="71" ht="15">
      <c r="A71" s="164" t="s">
        <v>220</v>
      </c>
    </row>
    <row r="72" ht="15">
      <c r="A72" s="164" t="s">
        <v>212</v>
      </c>
    </row>
    <row r="73" ht="15">
      <c r="A73" s="164" t="s">
        <v>211</v>
      </c>
    </row>
    <row r="74" spans="1:9" ht="15">
      <c r="A74" s="164" t="s">
        <v>193</v>
      </c>
      <c r="B74" s="211" t="s">
        <v>194</v>
      </c>
      <c r="I74" s="164" t="s">
        <v>195</v>
      </c>
    </row>
  </sheetData>
  <mergeCells count="2">
    <mergeCell ref="B18:K18"/>
    <mergeCell ref="B32:K32"/>
  </mergeCells>
  <hyperlinks>
    <hyperlink ref="B18" r:id="rId1" display="http://grouper.ieee.org/groups/802/3/10G_study/public/email_attach/All_1250.xls"/>
    <hyperlink ref="B32" r:id="rId2" display="http://grouper.ieee.org/groups/802/3/10G_study/public/email_attach/All_1250.xls"/>
    <hyperlink ref="B32:K32" r:id="rId3" display="http://grouper.ieee.org/groups/802/3/10G_study/public/email_attach/All_1250v2.xls"/>
    <hyperlink ref="C2" r:id="rId4" display="http://www.ieee802.org/3/ae/public/email_attach/10GEPBud2_4_1.xls"/>
    <hyperlink ref="B74" r:id="rId5" display="http://www.ieee802.org/3/ae/public/jul00/dawe_1_0700.pdf"/>
  </hyperlinks>
  <printOptions horizontalCentered="1"/>
  <pageMargins left="0.5" right="0.5" top="0.5" bottom="1" header="0.3" footer="0.75"/>
  <pageSetup fitToHeight="1" fitToWidth="1" horizontalDpi="600" verticalDpi="600" orientation="portrait" scale="63" r:id="rId6"/>
  <headerFooter alignWithMargins="0">
    <oddHeader xml:space="preserve">&amp;CSpreadsheet by Agilent Technologies&amp;R </oddHeader>
    <oddFooter>&amp;L&amp;F tab &amp;A page &amp;P of &amp;N&amp;RPrinted &amp;T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showGridLines="0" showOutlineSymbols="0" zoomScale="70" zoomScaleNormal="70" workbookViewId="0" topLeftCell="A1">
      <selection activeCell="T1" sqref="T1"/>
    </sheetView>
  </sheetViews>
  <sheetFormatPr defaultColWidth="9.140625" defaultRowHeight="12.75"/>
  <cols>
    <col min="1" max="1" width="13.28125" style="5" customWidth="1"/>
    <col min="2" max="2" width="7.7109375" style="5" customWidth="1"/>
    <col min="3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6" customWidth="1"/>
    <col min="19" max="19" width="6.57421875" style="5" customWidth="1"/>
    <col min="20" max="20" width="7.28125" style="7" customWidth="1"/>
    <col min="21" max="21" width="7.421875" style="5" customWidth="1"/>
    <col min="22" max="22" width="7.7109375" style="5" customWidth="1"/>
    <col min="23" max="23" width="11.140625" style="10" customWidth="1"/>
    <col min="24" max="24" width="8.8515625" style="10" customWidth="1"/>
    <col min="25" max="25" width="7.140625" style="5" customWidth="1"/>
    <col min="26" max="26" width="7.57421875" style="5" customWidth="1"/>
    <col min="27" max="27" width="10.00390625" style="5" customWidth="1"/>
    <col min="28" max="28" width="6.00390625" style="5" customWidth="1"/>
    <col min="29" max="29" width="7.00390625" style="5" customWidth="1"/>
    <col min="30" max="30" width="7.140625" style="5" customWidth="1"/>
    <col min="31" max="32" width="10.00390625" style="5" customWidth="1"/>
    <col min="33" max="16384" width="11.140625" style="5" customWidth="1"/>
  </cols>
  <sheetData>
    <row r="1" spans="1:32" s="126" customFormat="1" ht="15">
      <c r="A1" s="123" t="s">
        <v>109</v>
      </c>
      <c r="B1" s="110"/>
      <c r="C1" s="110"/>
      <c r="D1" s="110"/>
      <c r="E1" s="114"/>
      <c r="F1" s="114"/>
      <c r="G1" s="114"/>
      <c r="H1" s="114"/>
      <c r="I1" s="114"/>
      <c r="J1" s="114"/>
      <c r="K1" s="114"/>
      <c r="L1" s="124" t="s">
        <v>66</v>
      </c>
      <c r="M1" s="110" t="s">
        <v>99</v>
      </c>
      <c r="N1" s="114"/>
      <c r="O1" s="131" t="s">
        <v>51</v>
      </c>
      <c r="P1" s="277" t="s">
        <v>1</v>
      </c>
      <c r="Q1" s="276" t="str">
        <f>Notes!G1</f>
        <v>1.0.0</v>
      </c>
      <c r="R1" s="217"/>
      <c r="S1" s="222" t="s">
        <v>130</v>
      </c>
      <c r="T1" s="221" t="str">
        <f>Notes!A1</f>
        <v>10GEPBud2_4_1.xls</v>
      </c>
      <c r="U1" s="217"/>
      <c r="V1" s="214"/>
      <c r="W1" s="241">
        <f>Notes!E1</f>
        <v>36879</v>
      </c>
      <c r="AB1" s="217"/>
      <c r="AC1" s="51"/>
      <c r="AD1" s="51"/>
      <c r="AE1" s="51"/>
      <c r="AF1" s="51"/>
    </row>
    <row r="2" spans="1:32" ht="15.75">
      <c r="A2" s="62" t="s">
        <v>2</v>
      </c>
      <c r="B2" s="118" t="s">
        <v>3</v>
      </c>
      <c r="C2" s="73"/>
      <c r="D2" s="65" t="str">
        <f>IF(O1="SMF","PolMD DGDmax","")</f>
        <v>PolMD DGDmax</v>
      </c>
      <c r="E2" s="238">
        <v>19</v>
      </c>
      <c r="F2" s="73" t="str">
        <f>IF(O1="SMF","ps at target "&amp;J2&amp;K2,"")</f>
        <v>ps at target 40km</v>
      </c>
      <c r="G2" s="62"/>
      <c r="H2" s="61"/>
      <c r="I2" s="65" t="s">
        <v>92</v>
      </c>
      <c r="J2" s="130">
        <v>40</v>
      </c>
      <c r="K2" s="61" t="s">
        <v>93</v>
      </c>
      <c r="L2" s="61"/>
      <c r="M2" s="73"/>
      <c r="N2" s="61"/>
      <c r="O2" s="62" t="s">
        <v>98</v>
      </c>
      <c r="P2" s="139">
        <f>1000000/$P$6</f>
        <v>88.96969696969697</v>
      </c>
      <c r="Q2" s="61" t="s">
        <v>87</v>
      </c>
      <c r="R2" s="274"/>
      <c r="S2" s="275" t="s">
        <v>232</v>
      </c>
      <c r="T2" s="278" t="str">
        <f>Notes!F16</f>
        <v>2.4.1</v>
      </c>
      <c r="U2" s="279" t="s">
        <v>229</v>
      </c>
      <c r="V2" s="283">
        <f>Notes!D16</f>
        <v>36881</v>
      </c>
      <c r="W2" s="284"/>
      <c r="X2" s="6"/>
      <c r="Y2" s="243" t="s">
        <v>154</v>
      </c>
      <c r="Z2" s="244">
        <f>10^(B6/10)</f>
        <v>1.8138294177420509</v>
      </c>
      <c r="AA2" s="245" t="s">
        <v>153</v>
      </c>
      <c r="AB2" s="66"/>
      <c r="AC2" s="1"/>
      <c r="AD2" s="1"/>
      <c r="AE2" s="1"/>
      <c r="AF2" s="1"/>
    </row>
    <row r="3" spans="1:32" ht="15" customHeight="1">
      <c r="A3" s="62" t="s">
        <v>214</v>
      </c>
      <c r="B3" s="67">
        <f>0.25*$E$4*$B$4*(1-($E$5/$B$4)^4)</f>
        <v>19.06204393716412</v>
      </c>
      <c r="C3" s="66" t="s">
        <v>213</v>
      </c>
      <c r="D3" s="65" t="s">
        <v>144</v>
      </c>
      <c r="E3" s="145">
        <v>1000000</v>
      </c>
      <c r="F3" s="61" t="s">
        <v>143</v>
      </c>
      <c r="G3" s="61"/>
      <c r="H3" s="73"/>
      <c r="I3" s="62" t="s">
        <v>95</v>
      </c>
      <c r="J3" s="117">
        <v>30</v>
      </c>
      <c r="K3" s="73" t="s">
        <v>93</v>
      </c>
      <c r="L3" s="61"/>
      <c r="M3" s="73"/>
      <c r="N3" s="61"/>
      <c r="O3" s="62" t="s">
        <v>4</v>
      </c>
      <c r="P3" s="49">
        <f>IF($B$4&gt;1000,$E$6/1.5,$E$6/3.5)</f>
        <v>0.23740000000000003</v>
      </c>
      <c r="Q3" s="61"/>
      <c r="R3" s="80"/>
      <c r="S3" s="243" t="s">
        <v>207</v>
      </c>
      <c r="T3" s="244">
        <f>10*LOG10(Z3)</f>
        <v>5.387643813659597</v>
      </c>
      <c r="U3" s="246" t="s">
        <v>155</v>
      </c>
      <c r="V3" s="73"/>
      <c r="W3" s="66"/>
      <c r="X3" s="6"/>
      <c r="Y3" s="243" t="s">
        <v>152</v>
      </c>
      <c r="Z3" s="244">
        <f>(Z2+1)/(Z2-1)</f>
        <v>3.457517455622272</v>
      </c>
      <c r="AA3" s="245" t="s">
        <v>153</v>
      </c>
      <c r="AB3" s="82"/>
      <c r="AC3" s="1"/>
      <c r="AD3" s="1"/>
      <c r="AE3" s="1"/>
      <c r="AF3" s="1"/>
    </row>
    <row r="4" spans="1:32" ht="15" customHeight="1">
      <c r="A4" s="62" t="s">
        <v>48</v>
      </c>
      <c r="B4" s="84">
        <v>1565</v>
      </c>
      <c r="C4" s="73"/>
      <c r="D4" s="65" t="s">
        <v>7</v>
      </c>
      <c r="E4" s="81">
        <v>0.093</v>
      </c>
      <c r="F4" s="61"/>
      <c r="G4" s="61"/>
      <c r="H4" s="73"/>
      <c r="I4" s="62" t="s">
        <v>96</v>
      </c>
      <c r="J4" s="210">
        <v>1</v>
      </c>
      <c r="K4" s="61" t="s">
        <v>93</v>
      </c>
      <c r="L4" s="61"/>
      <c r="M4" s="61"/>
      <c r="N4" s="61"/>
      <c r="O4" s="62" t="s">
        <v>5</v>
      </c>
      <c r="P4" s="139">
        <f>B7*1.518</f>
        <v>50.094</v>
      </c>
      <c r="Q4" s="73" t="s">
        <v>87</v>
      </c>
      <c r="R4" s="85"/>
      <c r="S4" s="2" t="s">
        <v>208</v>
      </c>
      <c r="T4" s="4">
        <f>10*LOG10((1+10^(-($J$10/10)))/(1-10^(-($J$10/10))))</f>
        <v>1.3883240157599444</v>
      </c>
      <c r="U4" s="246" t="s">
        <v>155</v>
      </c>
      <c r="V4" s="73"/>
      <c r="W4" s="66"/>
      <c r="X4" s="6"/>
      <c r="Y4" s="248" t="s">
        <v>31</v>
      </c>
      <c r="Z4" s="5">
        <f>0.7*$E$4*$B$5</f>
        <v>0.0022134</v>
      </c>
      <c r="AA4" s="66" t="s">
        <v>213</v>
      </c>
      <c r="AB4" s="83"/>
      <c r="AC4" s="1"/>
      <c r="AD4" s="1"/>
      <c r="AE4" s="1"/>
      <c r="AF4" s="1"/>
    </row>
    <row r="5" spans="1:32" ht="15" customHeight="1">
      <c r="A5" s="62" t="s">
        <v>6</v>
      </c>
      <c r="B5" s="212">
        <v>0.034</v>
      </c>
      <c r="C5" s="73"/>
      <c r="D5" s="65" t="s">
        <v>49</v>
      </c>
      <c r="E5" s="81">
        <v>1300</v>
      </c>
      <c r="F5" s="61"/>
      <c r="G5" s="61"/>
      <c r="H5" s="73"/>
      <c r="I5" s="62" t="s">
        <v>9</v>
      </c>
      <c r="J5" s="87">
        <v>480</v>
      </c>
      <c r="K5" s="61" t="s">
        <v>91</v>
      </c>
      <c r="L5" s="73"/>
      <c r="M5" s="67"/>
      <c r="N5" s="61"/>
      <c r="O5" s="62" t="s">
        <v>8</v>
      </c>
      <c r="P5" s="95">
        <v>0.7</v>
      </c>
      <c r="Q5" s="61"/>
      <c r="R5" s="85"/>
      <c r="S5" s="248" t="s">
        <v>163</v>
      </c>
      <c r="T5" s="249">
        <f>T3-T4</f>
        <v>3.999319797899653</v>
      </c>
      <c r="U5" s="246" t="s">
        <v>155</v>
      </c>
      <c r="V5" s="73"/>
      <c r="W5" s="66"/>
      <c r="X5" s="6"/>
      <c r="AB5" s="83"/>
      <c r="AC5" s="1"/>
      <c r="AD5" s="1"/>
      <c r="AE5" s="1"/>
      <c r="AF5" s="1"/>
    </row>
    <row r="6" spans="1:32" ht="15" customHeight="1">
      <c r="A6" s="62" t="s">
        <v>223</v>
      </c>
      <c r="B6" s="70">
        <f>10*LOG10((2*AE7+K9)/(2*AE7-K9))</f>
        <v>2.585964412594639</v>
      </c>
      <c r="C6" s="73" t="s">
        <v>54</v>
      </c>
      <c r="D6" s="65" t="s">
        <v>83</v>
      </c>
      <c r="E6" s="81">
        <v>0.3561</v>
      </c>
      <c r="F6" s="61" t="str">
        <f>"dB/km at "&amp;IF(B4&lt;1000,850,1300)&amp;" nm"</f>
        <v>dB/km at 1300 nm</v>
      </c>
      <c r="G6" s="61"/>
      <c r="H6" s="73"/>
      <c r="I6" s="62" t="s">
        <v>12</v>
      </c>
      <c r="J6" s="86">
        <v>7.037</v>
      </c>
      <c r="K6" s="61"/>
      <c r="L6" s="61"/>
      <c r="M6" s="67"/>
      <c r="N6" s="61"/>
      <c r="O6" s="65" t="s">
        <v>10</v>
      </c>
      <c r="P6" s="88">
        <f>(P7)</f>
        <v>11239.782016348774</v>
      </c>
      <c r="Q6" s="66"/>
      <c r="R6" s="83"/>
      <c r="S6" s="62" t="s">
        <v>204</v>
      </c>
      <c r="T6" s="51">
        <f>$E$10-$E$11</f>
        <v>17</v>
      </c>
      <c r="U6" s="233" t="s">
        <v>54</v>
      </c>
      <c r="V6" s="73"/>
      <c r="W6" s="66"/>
      <c r="Y6" s="166" t="s">
        <v>114</v>
      </c>
      <c r="Z6" s="167">
        <f>$Z$8*$P$2/(SQRT(8)*$T$9)</f>
        <v>1.8929899758366002</v>
      </c>
      <c r="AA6" s="168" t="s">
        <v>67</v>
      </c>
      <c r="AB6" s="61"/>
      <c r="AC6" s="1"/>
      <c r="AD6" s="1"/>
      <c r="AE6" s="1"/>
      <c r="AF6" s="1"/>
    </row>
    <row r="7" spans="1:32" ht="15" customHeight="1">
      <c r="A7" s="62" t="s">
        <v>11</v>
      </c>
      <c r="B7" s="81">
        <v>33</v>
      </c>
      <c r="C7" s="73" t="s">
        <v>87</v>
      </c>
      <c r="D7" s="65" t="s">
        <v>145</v>
      </c>
      <c r="E7" s="239">
        <f>IF(O1="SMF",1000000*J2/(3*E2),E3)</f>
        <v>701754.3859649122</v>
      </c>
      <c r="F7" s="61" t="s">
        <v>143</v>
      </c>
      <c r="G7" s="67"/>
      <c r="H7" s="67"/>
      <c r="I7" s="65" t="s">
        <v>88</v>
      </c>
      <c r="J7" s="147">
        <f>2.5*10^5/$E$8</f>
        <v>24.242424242424242</v>
      </c>
      <c r="K7" s="67" t="s">
        <v>87</v>
      </c>
      <c r="L7" s="61"/>
      <c r="M7" s="67"/>
      <c r="N7" s="61"/>
      <c r="O7" s="65" t="s">
        <v>13</v>
      </c>
      <c r="P7" s="89">
        <f>1/((1/$E$8)-$J$8*10^-6)</f>
        <v>11239.782016348774</v>
      </c>
      <c r="Q7" s="66"/>
      <c r="R7" s="83"/>
      <c r="S7" s="91" t="s">
        <v>28</v>
      </c>
      <c r="T7" s="115">
        <f>AE36</f>
        <v>1.451933916466917</v>
      </c>
      <c r="U7" s="92" t="str">
        <f>"dB at target "&amp;J2&amp;" km"</f>
        <v>dB at target 40 km</v>
      </c>
      <c r="V7" s="73"/>
      <c r="W7" s="119"/>
      <c r="Y7" s="166" t="s">
        <v>115</v>
      </c>
      <c r="Z7" s="169">
        <f>IF(ABS($Z$6)&lt;10,SIGN($Z$6)*ERF(ABS($Z$6)),SIGN($Z$6))</f>
        <v>0.9925735779134015</v>
      </c>
      <c r="AA7" s="168" t="s">
        <v>67</v>
      </c>
      <c r="AB7" s="61"/>
      <c r="AC7" s="1"/>
      <c r="AD7" s="2" t="s">
        <v>166</v>
      </c>
      <c r="AE7" s="253">
        <f>1000*10^(J9/10)</f>
        <v>2511.8864315095807</v>
      </c>
      <c r="AF7" s="1" t="s">
        <v>165</v>
      </c>
    </row>
    <row r="8" spans="1:32" ht="15" customHeight="1">
      <c r="A8" s="248" t="s">
        <v>224</v>
      </c>
      <c r="B8" s="81">
        <v>-140</v>
      </c>
      <c r="C8" s="102" t="s">
        <v>74</v>
      </c>
      <c r="D8" s="62" t="s">
        <v>84</v>
      </c>
      <c r="E8" s="148">
        <v>10312.5</v>
      </c>
      <c r="F8" s="73" t="s">
        <v>89</v>
      </c>
      <c r="G8" s="67"/>
      <c r="H8" s="61"/>
      <c r="I8" s="65" t="s">
        <v>15</v>
      </c>
      <c r="J8" s="81">
        <v>8</v>
      </c>
      <c r="K8" s="61"/>
      <c r="L8" s="61"/>
      <c r="M8" s="61"/>
      <c r="N8" s="61"/>
      <c r="O8" s="62" t="s">
        <v>14</v>
      </c>
      <c r="P8" s="63">
        <f>(10^-6)*$J$7*$P$7</f>
        <v>0.2724795640326975</v>
      </c>
      <c r="Q8" s="66"/>
      <c r="R8" s="83"/>
      <c r="S8" s="65" t="s">
        <v>100</v>
      </c>
      <c r="T8" s="49">
        <f>$P$3*((1/(0.00094*$B$4)^4)+1.05)</f>
        <v>0.2999587909867088</v>
      </c>
      <c r="U8" s="61" t="str">
        <f>"dB/km at "&amp;B4&amp;" nm"</f>
        <v>dB/km at 1565 nm</v>
      </c>
      <c r="V8" s="73"/>
      <c r="W8" s="66"/>
      <c r="Y8" s="166" t="s">
        <v>116</v>
      </c>
      <c r="Z8" s="170">
        <v>2.563</v>
      </c>
      <c r="AA8" s="168" t="s">
        <v>67</v>
      </c>
      <c r="AB8" s="61"/>
      <c r="AC8" s="1"/>
      <c r="AD8" s="1"/>
      <c r="AE8" s="1"/>
      <c r="AF8" s="1"/>
    </row>
    <row r="9" spans="1:32" ht="15" customHeight="1">
      <c r="A9" s="62" t="s">
        <v>225</v>
      </c>
      <c r="B9" s="247">
        <f>B8-2*T3</f>
        <v>-150.7752876273192</v>
      </c>
      <c r="C9" s="102" t="s">
        <v>74</v>
      </c>
      <c r="D9" s="65" t="s">
        <v>85</v>
      </c>
      <c r="E9" s="145">
        <v>7725</v>
      </c>
      <c r="F9" s="73" t="s">
        <v>90</v>
      </c>
      <c r="G9" s="73"/>
      <c r="H9" s="61"/>
      <c r="I9" s="258" t="s">
        <v>233</v>
      </c>
      <c r="J9" s="122">
        <v>4</v>
      </c>
      <c r="K9" s="250">
        <v>1453</v>
      </c>
      <c r="L9" s="92" t="s">
        <v>164</v>
      </c>
      <c r="M9" s="67"/>
      <c r="N9" s="61"/>
      <c r="O9" s="62" t="s">
        <v>16</v>
      </c>
      <c r="P9" s="90">
        <f>(P8)</f>
        <v>0.2724795640326975</v>
      </c>
      <c r="Q9" s="66"/>
      <c r="R9" s="83"/>
      <c r="S9" s="91" t="s">
        <v>64</v>
      </c>
      <c r="T9" s="138">
        <f>T10*1000/$E$9</f>
        <v>42.58899676375405</v>
      </c>
      <c r="U9" s="92" t="s">
        <v>87</v>
      </c>
      <c r="V9" s="32"/>
      <c r="W9" s="41"/>
      <c r="Y9" s="171" t="s">
        <v>86</v>
      </c>
      <c r="Z9" s="193">
        <f>ERF(MAX(MIN($Z$8*$P$2*($P$9+1)/(SQRT(8)*$T$9),10),-10))+ERF(MAX(MIN($Z$8*$P$2*(1-$P$9)/(SQRT(8)*$T$9),10),-10))-1</f>
        <v>0.9478839331808959</v>
      </c>
      <c r="AA9" s="172" t="s">
        <v>67</v>
      </c>
      <c r="AB9" s="61"/>
      <c r="AC9" s="1"/>
      <c r="AD9" s="1"/>
      <c r="AE9" s="1"/>
      <c r="AF9" s="1"/>
    </row>
    <row r="10" spans="1:32" ht="15" customHeight="1">
      <c r="A10" s="273" t="s">
        <v>226</v>
      </c>
      <c r="B10" s="81">
        <v>0</v>
      </c>
      <c r="C10" s="73"/>
      <c r="D10" s="65" t="s">
        <v>58</v>
      </c>
      <c r="E10" s="81">
        <v>18</v>
      </c>
      <c r="F10" s="73"/>
      <c r="G10" s="62"/>
      <c r="H10" s="61"/>
      <c r="I10" s="62" t="s">
        <v>21</v>
      </c>
      <c r="J10" s="116">
        <v>8</v>
      </c>
      <c r="K10" s="61"/>
      <c r="L10" s="61"/>
      <c r="M10" s="67"/>
      <c r="N10" s="61"/>
      <c r="O10" s="62" t="s">
        <v>18</v>
      </c>
      <c r="P10" s="49">
        <f>S35-$T$6</f>
        <v>3.1075631769730094</v>
      </c>
      <c r="Q10" s="67" t="s">
        <v>19</v>
      </c>
      <c r="R10" s="83"/>
      <c r="S10" s="202" t="s">
        <v>141</v>
      </c>
      <c r="T10" s="234">
        <v>329</v>
      </c>
      <c r="U10" s="235" t="s">
        <v>91</v>
      </c>
      <c r="V10" s="73"/>
      <c r="W10" s="103" t="s">
        <v>20</v>
      </c>
      <c r="X10" s="66"/>
      <c r="Y10" s="12" t="s">
        <v>29</v>
      </c>
      <c r="Z10" s="12" t="s">
        <v>24</v>
      </c>
      <c r="AA10" s="150"/>
      <c r="AB10" s="61"/>
      <c r="AC10" s="1"/>
      <c r="AD10" s="1"/>
      <c r="AE10" s="1"/>
      <c r="AF10" s="1"/>
    </row>
    <row r="11" spans="1:32" ht="15" customHeight="1">
      <c r="A11" s="34" t="s">
        <v>17</v>
      </c>
      <c r="B11" s="240">
        <v>0</v>
      </c>
      <c r="C11" s="32"/>
      <c r="D11" s="45" t="s">
        <v>59</v>
      </c>
      <c r="E11" s="240">
        <v>1</v>
      </c>
      <c r="F11" s="32"/>
      <c r="G11" s="33"/>
      <c r="H11" s="33"/>
      <c r="I11" s="34" t="s">
        <v>65</v>
      </c>
      <c r="J11" s="35">
        <v>0.025</v>
      </c>
      <c r="K11" s="36" t="s">
        <v>57</v>
      </c>
      <c r="L11" s="37"/>
      <c r="M11" s="37"/>
      <c r="N11" s="33"/>
      <c r="O11" s="38" t="s">
        <v>53</v>
      </c>
      <c r="P11" s="39">
        <f>10*LOG10(1/SQRT(1-($J$6*J11)^2))</f>
        <v>0.0682681868313477</v>
      </c>
      <c r="Q11" s="36" t="s">
        <v>54</v>
      </c>
      <c r="R11" s="57"/>
      <c r="S11" s="38" t="s">
        <v>52</v>
      </c>
      <c r="T11" s="40">
        <f>10*LOG10(1/SQRT(1-($J$6*$J$11/$Z$9)^2))</f>
        <v>0.07611823324030983</v>
      </c>
      <c r="U11" s="236" t="s">
        <v>54</v>
      </c>
      <c r="V11" s="73"/>
      <c r="W11" s="93" t="s">
        <v>22</v>
      </c>
      <c r="X11" s="6" t="s">
        <v>23</v>
      </c>
      <c r="Y11" s="10" t="s">
        <v>77</v>
      </c>
      <c r="Z11" s="6" t="s">
        <v>30</v>
      </c>
      <c r="AA11" s="151" t="s">
        <v>68</v>
      </c>
      <c r="AB11" s="61"/>
      <c r="AC11" s="1"/>
      <c r="AD11" s="1"/>
      <c r="AE11" s="1"/>
      <c r="AF11" s="1"/>
    </row>
    <row r="12" spans="1:35" ht="15" customHeight="1">
      <c r="A12" s="242" t="s">
        <v>76</v>
      </c>
      <c r="B12" s="66" t="s">
        <v>215</v>
      </c>
      <c r="C12" s="66" t="s">
        <v>216</v>
      </c>
      <c r="D12" s="72" t="s">
        <v>70</v>
      </c>
      <c r="E12" s="72" t="s">
        <v>146</v>
      </c>
      <c r="F12" s="73" t="s">
        <v>71</v>
      </c>
      <c r="G12" s="73" t="s">
        <v>72</v>
      </c>
      <c r="H12" s="64" t="s">
        <v>32</v>
      </c>
      <c r="I12" s="65" t="s">
        <v>33</v>
      </c>
      <c r="J12" s="66" t="s">
        <v>34</v>
      </c>
      <c r="K12" s="67" t="s">
        <v>35</v>
      </c>
      <c r="L12" s="65" t="s">
        <v>36</v>
      </c>
      <c r="M12" s="65" t="s">
        <v>37</v>
      </c>
      <c r="N12" s="65" t="s">
        <v>38</v>
      </c>
      <c r="O12" s="68" t="s">
        <v>69</v>
      </c>
      <c r="P12" s="256" t="s">
        <v>175</v>
      </c>
      <c r="Q12" s="65" t="s">
        <v>39</v>
      </c>
      <c r="R12" s="69" t="s">
        <v>40</v>
      </c>
      <c r="S12" s="70" t="s">
        <v>42</v>
      </c>
      <c r="T12" s="68" t="s">
        <v>43</v>
      </c>
      <c r="U12" s="67" t="s">
        <v>44</v>
      </c>
      <c r="V12" s="71" t="s">
        <v>28</v>
      </c>
      <c r="W12" s="230" t="s">
        <v>27</v>
      </c>
      <c r="X12" s="6" t="s">
        <v>28</v>
      </c>
      <c r="Y12" s="5" t="s">
        <v>157</v>
      </c>
      <c r="Z12" s="5" t="s">
        <v>158</v>
      </c>
      <c r="AA12" s="151" t="s">
        <v>56</v>
      </c>
      <c r="AB12" s="66" t="s">
        <v>41</v>
      </c>
      <c r="AC12" s="156" t="s">
        <v>123</v>
      </c>
      <c r="AD12" s="1"/>
      <c r="AE12" s="146" t="s">
        <v>101</v>
      </c>
      <c r="AF12" s="173" t="s">
        <v>117</v>
      </c>
      <c r="AG12" s="180" t="s">
        <v>118</v>
      </c>
      <c r="AH12" s="157" t="s">
        <v>119</v>
      </c>
      <c r="AI12" s="157" t="s">
        <v>120</v>
      </c>
    </row>
    <row r="13" spans="1:35" s="33" customFormat="1" ht="15" customHeight="1">
      <c r="A13" s="120" t="s">
        <v>75</v>
      </c>
      <c r="B13" s="42" t="s">
        <v>217</v>
      </c>
      <c r="C13" s="42" t="s">
        <v>217</v>
      </c>
      <c r="D13" s="43" t="s">
        <v>73</v>
      </c>
      <c r="E13" s="43" t="s">
        <v>73</v>
      </c>
      <c r="F13" s="32" t="s">
        <v>97</v>
      </c>
      <c r="G13" s="32" t="s">
        <v>97</v>
      </c>
      <c r="H13" s="44" t="s">
        <v>25</v>
      </c>
      <c r="I13" s="45" t="s">
        <v>25</v>
      </c>
      <c r="J13" s="32"/>
      <c r="K13" s="46"/>
      <c r="L13" s="45" t="s">
        <v>25</v>
      </c>
      <c r="M13" s="45"/>
      <c r="N13" s="45" t="s">
        <v>25</v>
      </c>
      <c r="O13" s="45" t="s">
        <v>25</v>
      </c>
      <c r="P13" s="257" t="s">
        <v>25</v>
      </c>
      <c r="Q13" s="45" t="s">
        <v>25</v>
      </c>
      <c r="R13" s="58" t="s">
        <v>25</v>
      </c>
      <c r="S13" s="46" t="s">
        <v>25</v>
      </c>
      <c r="T13" s="47" t="s">
        <v>25</v>
      </c>
      <c r="U13" s="47" t="s">
        <v>26</v>
      </c>
      <c r="V13" s="48" t="s">
        <v>25</v>
      </c>
      <c r="W13" s="94" t="s">
        <v>45</v>
      </c>
      <c r="X13" s="42" t="s">
        <v>46</v>
      </c>
      <c r="Y13" s="42" t="s">
        <v>25</v>
      </c>
      <c r="Z13" s="42" t="s">
        <v>25</v>
      </c>
      <c r="AA13" s="152" t="s">
        <v>55</v>
      </c>
      <c r="AB13" s="42" t="s">
        <v>25</v>
      </c>
      <c r="AC13" s="132" t="s">
        <v>122</v>
      </c>
      <c r="AD13" s="133" t="s">
        <v>94</v>
      </c>
      <c r="AE13" s="133" t="s">
        <v>121</v>
      </c>
      <c r="AF13" s="174" t="s">
        <v>55</v>
      </c>
      <c r="AG13" s="181" t="s">
        <v>55</v>
      </c>
      <c r="AH13" s="181" t="s">
        <v>55</v>
      </c>
      <c r="AI13" s="181" t="s">
        <v>55</v>
      </c>
    </row>
    <row r="14" spans="1:35" s="114" customFormat="1" ht="15" customHeight="1">
      <c r="A14" s="121">
        <v>0.002</v>
      </c>
      <c r="B14" s="107">
        <f>A14*$B$3</f>
        <v>0.03812408787432824</v>
      </c>
      <c r="C14" s="125">
        <f>A14*$Z$4</f>
        <v>4.4268E-06</v>
      </c>
      <c r="D14" s="108">
        <f>(0.187/$B$5)*10^6/(SQRT(B14^2+C14^2))</f>
        <v>144265745.610816</v>
      </c>
      <c r="E14" s="108">
        <f>$E$7/A14</f>
        <v>350877192.9824561</v>
      </c>
      <c r="F14" s="140">
        <f aca="true" t="shared" si="0" ref="F14:F35">SQRT((1000*$J$5/D14)^2+(1000*$J$5/E14)^2+$P$4^2)</f>
        <v>50.09400012917354</v>
      </c>
      <c r="G14" s="140">
        <f aca="true" t="shared" si="1" ref="G14:G35">SQRT(F14^2+$T$9^2)</f>
        <v>65.75128511508115</v>
      </c>
      <c r="H14" s="109">
        <f aca="true" t="shared" si="2" ref="H14:H35">-10*LOG10(2*AG14-1)</f>
        <v>0.787432215355754</v>
      </c>
      <c r="I14" s="107">
        <f aca="true" t="shared" si="3" ref="I14:I35">A14*$P$3*((1/(0.00094*$B$4)^4)+1.05)</f>
        <v>0.0005999175819734176</v>
      </c>
      <c r="J14" s="110">
        <f>(10^-6)*3.14*$P$6*B14*$B$5</f>
        <v>4.574734724396742E-05</v>
      </c>
      <c r="K14" s="107">
        <f aca="true" t="shared" si="4" ref="K14:K35">($B$10/SQRT(2))*(1-EXP(-1*J14^2))</f>
        <v>0</v>
      </c>
      <c r="L14" s="107">
        <f aca="true" t="shared" si="5" ref="L14:L35">10*LOG10(1/SQRT(1-($J$6*K14)^2))</f>
        <v>0</v>
      </c>
      <c r="M14" s="107"/>
      <c r="N14" s="107"/>
      <c r="O14" s="107">
        <f aca="true" t="shared" si="6" ref="O14:O35">10*LOG10(1/SQRT(1-($J$6*$J$6*((($J$11/AA14)^2)+M14+(K14*K14)))))-$T$11-L14-N14</f>
        <v>0.04169764106977475</v>
      </c>
      <c r="P14" s="175">
        <f aca="true" t="shared" si="7" ref="P14:P35">Y14-Z14</f>
        <v>3.999319797899653</v>
      </c>
      <c r="Q14" s="107">
        <f aca="true" t="shared" si="8" ref="Q14:Q35">$B$11</f>
        <v>0</v>
      </c>
      <c r="R14" s="203">
        <f aca="true" t="shared" si="9" ref="R14:R35">-10*LOG10(AA14)-H14</f>
        <v>0.3728980617140867</v>
      </c>
      <c r="S14" s="255">
        <f>H14+I14+L14+N14+O14+Q14+R14</f>
        <v>1.202627835721589</v>
      </c>
      <c r="T14" s="107">
        <f aca="true" t="shared" si="10" ref="T14:T35">$E$11+I14</f>
        <v>1.0005999175819733</v>
      </c>
      <c r="U14" s="107">
        <f aca="true" t="shared" si="11" ref="U14:U35">S14-I14</f>
        <v>1.2020279181396156</v>
      </c>
      <c r="V14" s="112">
        <f aca="true" t="shared" si="12" ref="V14:V35">$T$6-S14</f>
        <v>15.79737216427841</v>
      </c>
      <c r="W14" s="113">
        <f aca="true" t="shared" si="13" ref="W14:W35">$J$9-T14-R14-$T$5</f>
        <v>-1.3728177771957126</v>
      </c>
      <c r="X14" s="111"/>
      <c r="Y14" s="107">
        <f aca="true" t="shared" si="14" ref="Y14:Y35">10*LOG10((1+10^(-($B$6/10)))/(1-10^(-($B$6/10))))</f>
        <v>5.387643813659597</v>
      </c>
      <c r="Z14" s="107">
        <f aca="true" t="shared" si="15" ref="Z14:Z35">10*LOG10((1+10^(-($J$10/10)))/(1-10^(-($J$10/10))))</f>
        <v>1.3883240157599444</v>
      </c>
      <c r="AA14" s="175">
        <f>ERF(AH14)+ERF(AI14)-1</f>
        <v>0.7655383861877749</v>
      </c>
      <c r="AB14" s="111">
        <f aca="true" t="shared" si="16" ref="AB14:AB35">$E$10-$E$11</f>
        <v>17</v>
      </c>
      <c r="AC14" s="134"/>
      <c r="AD14" s="135"/>
      <c r="AE14" s="110"/>
      <c r="AF14" s="178">
        <f aca="true" t="shared" si="17" ref="AF14:AF35">$Z$8*$P$2/(SQRT(8)*G14)</f>
        <v>1.2261440033243116</v>
      </c>
      <c r="AG14" s="182">
        <f>IF(ABS(AF14)&lt;10,SIGN(AF14)*ERF(ABS(AF14)),SIGN(AF14))</f>
        <v>0.9170871239618529</v>
      </c>
      <c r="AH14" s="188">
        <f aca="true" t="shared" si="18" ref="AH14:AH35">MAX(MIN($Z$8*$P$2*($P$9+1)/(SQRT(8)*G14),10),-10)</f>
        <v>1.5602431867914264</v>
      </c>
      <c r="AI14" s="189">
        <f aca="true" t="shared" si="19" ref="AI14:AI35">MAX(MIN($Z$8*$P$2*(1-$P$9)/(SQRT(8)*G14),10),-10)</f>
        <v>0.8920448198571966</v>
      </c>
    </row>
    <row r="15" spans="1:35" s="20" customFormat="1" ht="15" customHeight="1">
      <c r="A15" s="261">
        <f>$J$3</f>
        <v>30</v>
      </c>
      <c r="B15" s="270">
        <f>A15*$B$3</f>
        <v>571.8613181149236</v>
      </c>
      <c r="C15" s="127">
        <f>A15*$Z$4</f>
        <v>0.066402</v>
      </c>
      <c r="D15" s="142">
        <f>(0.187/$B$5)*10^6/(SQRT(B15^2+C15^2))</f>
        <v>9617.7163740544</v>
      </c>
      <c r="E15" s="142">
        <f>$E$7/A15</f>
        <v>23391.812865497075</v>
      </c>
      <c r="F15" s="104">
        <f t="shared" si="0"/>
        <v>73.62932457886032</v>
      </c>
      <c r="G15" s="104">
        <f t="shared" si="1"/>
        <v>85.0593915054782</v>
      </c>
      <c r="H15" s="98">
        <f t="shared" si="2"/>
        <v>1.9397122237345068</v>
      </c>
      <c r="I15" s="95">
        <f t="shared" si="3"/>
        <v>8.998763729601263</v>
      </c>
      <c r="J15" s="95">
        <f>(10^-6)*3.14*$P$6*B15*$B$5</f>
        <v>0.6862102086595113</v>
      </c>
      <c r="K15" s="95">
        <f t="shared" si="4"/>
        <v>0</v>
      </c>
      <c r="L15" s="95">
        <f t="shared" si="5"/>
        <v>0</v>
      </c>
      <c r="M15" s="95">
        <f>$P$5*10^9*($J$5/G15)*10^($B$8/10)</f>
        <v>3.9501810917417634E-05</v>
      </c>
      <c r="N15" s="95">
        <f aca="true" t="shared" si="20" ref="N15:N35">10*LOG10(1/SQRT(1-($J$6^2)*M15))</f>
        <v>0.004251787324647955</v>
      </c>
      <c r="O15" s="95">
        <f t="shared" si="6"/>
        <v>0.13203623293596414</v>
      </c>
      <c r="P15" s="207">
        <f t="shared" si="7"/>
        <v>3.999319797899653</v>
      </c>
      <c r="Q15" s="95">
        <f t="shared" si="8"/>
        <v>0</v>
      </c>
      <c r="R15" s="194">
        <f t="shared" si="9"/>
        <v>0.4076715770254793</v>
      </c>
      <c r="S15" s="96">
        <f>H15+I15+L15+N15+O15+Q15+R15</f>
        <v>11.482435550621862</v>
      </c>
      <c r="T15" s="95">
        <f t="shared" si="10"/>
        <v>9.998763729601263</v>
      </c>
      <c r="U15" s="95">
        <f t="shared" si="11"/>
        <v>2.4836718210205984</v>
      </c>
      <c r="V15" s="100">
        <f t="shared" si="12"/>
        <v>5.517564449378138</v>
      </c>
      <c r="W15" s="254">
        <f t="shared" si="13"/>
        <v>-10.405755104526396</v>
      </c>
      <c r="X15" s="19"/>
      <c r="Y15" s="18">
        <f t="shared" si="14"/>
        <v>5.387643813659597</v>
      </c>
      <c r="Z15" s="18">
        <f t="shared" si="15"/>
        <v>1.3883240157599444</v>
      </c>
      <c r="AA15" s="206">
        <f>ERF(AH15)+ERF(AI15)-1</f>
        <v>0.5824539836336773</v>
      </c>
      <c r="AB15" s="99">
        <f t="shared" si="16"/>
        <v>17</v>
      </c>
      <c r="AC15" s="183">
        <f aca="true" t="shared" si="21" ref="AC15:AC35">$J$2</f>
        <v>40</v>
      </c>
      <c r="AD15" s="185">
        <v>0</v>
      </c>
      <c r="AE15" s="198">
        <f aca="true" t="shared" si="22" ref="AE15:AE35">IF(A15=$J$2,V15,0)</f>
        <v>0</v>
      </c>
      <c r="AF15" s="153">
        <f t="shared" si="17"/>
        <v>0.9478147271901363</v>
      </c>
      <c r="AG15" s="176">
        <f>IF(ABS(AF15)&lt;10,SIGN(AF15)*ERF(ABS(AF15)),SIGN(AF15))</f>
        <v>0.8198886137971326</v>
      </c>
      <c r="AH15" s="191">
        <f t="shared" si="18"/>
        <v>1.2060748708386748</v>
      </c>
      <c r="AI15" s="192">
        <f t="shared" si="19"/>
        <v>0.6895545835415977</v>
      </c>
    </row>
    <row r="16" spans="1:35" s="26" customFormat="1" ht="15" customHeight="1">
      <c r="A16" s="262">
        <f aca="true" t="shared" si="23" ref="A16:A35">A15+$J$4</f>
        <v>31</v>
      </c>
      <c r="B16" s="271">
        <f>A16*$B$3</f>
        <v>590.9233620520877</v>
      </c>
      <c r="C16" s="128">
        <f>A16*$Z$4</f>
        <v>0.0686154</v>
      </c>
      <c r="D16" s="143">
        <f>(0.187/$B$5)*10^6/(SQRT(B16^2+C16^2))</f>
        <v>9307.467458762325</v>
      </c>
      <c r="E16" s="143">
        <f>$E$7/A16</f>
        <v>22637.238256932655</v>
      </c>
      <c r="F16" s="105">
        <f t="shared" si="0"/>
        <v>74.95757080481921</v>
      </c>
      <c r="G16" s="105">
        <f t="shared" si="1"/>
        <v>86.21171652567033</v>
      </c>
      <c r="H16" s="50">
        <f t="shared" si="2"/>
        <v>2.020445807489975</v>
      </c>
      <c r="I16" s="49">
        <f t="shared" si="3"/>
        <v>9.298722520587972</v>
      </c>
      <c r="J16" s="49">
        <f aca="true" t="shared" si="24" ref="J16:J35">(10^-6)*3.14*$P$6*B16*$B$5</f>
        <v>0.709083882281495</v>
      </c>
      <c r="K16" s="49">
        <f t="shared" si="4"/>
        <v>0</v>
      </c>
      <c r="L16" s="49">
        <f t="shared" si="5"/>
        <v>0</v>
      </c>
      <c r="M16" s="49">
        <f aca="true" t="shared" si="25" ref="M16:M33">$P$5*10^9*($J$5/G16)*10^($B$8/10)</f>
        <v>3.897382090750425E-05</v>
      </c>
      <c r="N16" s="49">
        <f t="shared" si="20"/>
        <v>0.004194902058814464</v>
      </c>
      <c r="O16" s="49">
        <f t="shared" si="6"/>
        <v>0.1404074261813698</v>
      </c>
      <c r="P16" s="205">
        <f t="shared" si="7"/>
        <v>3.999319797899653</v>
      </c>
      <c r="Q16" s="49">
        <f t="shared" si="8"/>
        <v>0</v>
      </c>
      <c r="R16" s="197">
        <f t="shared" si="9"/>
        <v>0.40849566829348793</v>
      </c>
      <c r="S16" s="53">
        <f aca="true" t="shared" si="26" ref="S16:S35">H16+I16+L16+N16+O16+Q16+R16</f>
        <v>11.87226632461162</v>
      </c>
      <c r="T16" s="49">
        <f t="shared" si="10"/>
        <v>10.298722520587972</v>
      </c>
      <c r="U16" s="49">
        <f t="shared" si="11"/>
        <v>2.5735438040236467</v>
      </c>
      <c r="V16" s="54">
        <f t="shared" si="12"/>
        <v>5.127733675388381</v>
      </c>
      <c r="W16" s="97">
        <f t="shared" si="13"/>
        <v>-10.706537986781115</v>
      </c>
      <c r="X16" s="25">
        <f aca="true" t="shared" si="27" ref="X16:X34">(V17-V15)/2</f>
        <v>-0.3915603211808367</v>
      </c>
      <c r="Y16" s="23">
        <f t="shared" si="14"/>
        <v>5.387643813659597</v>
      </c>
      <c r="Z16" s="23">
        <f t="shared" si="15"/>
        <v>1.3883240157599444</v>
      </c>
      <c r="AA16" s="205">
        <f>ERF(AH16)+ERF(AI16)-1</f>
        <v>0.5716179425409682</v>
      </c>
      <c r="AB16" s="52">
        <f t="shared" si="16"/>
        <v>17</v>
      </c>
      <c r="AC16" s="136">
        <f t="shared" si="21"/>
        <v>40</v>
      </c>
      <c r="AD16" s="137">
        <f aca="true" t="shared" si="28" ref="AD16:AD34">AD17</f>
        <v>17.9</v>
      </c>
      <c r="AE16" s="199">
        <f t="shared" si="22"/>
        <v>0</v>
      </c>
      <c r="AF16" s="154">
        <f t="shared" si="17"/>
        <v>0.9351460242729109</v>
      </c>
      <c r="AG16" s="177">
        <f>IF(ABS(AF16)&lt;10,SIGN(AF16)*ERF(ABS(AF16)),SIGN(AF16))</f>
        <v>0.8139969456618296</v>
      </c>
      <c r="AH16" s="193">
        <f t="shared" si="18"/>
        <v>1.189954205273704</v>
      </c>
      <c r="AI16" s="193">
        <f t="shared" si="19"/>
        <v>0.6803378432721177</v>
      </c>
    </row>
    <row r="17" spans="1:35" s="26" customFormat="1" ht="15" customHeight="1">
      <c r="A17" s="262">
        <f t="shared" si="23"/>
        <v>32</v>
      </c>
      <c r="B17" s="271">
        <f aca="true" t="shared" si="29" ref="B17:B34">A17*$B$3</f>
        <v>609.9854059892518</v>
      </c>
      <c r="C17" s="128">
        <f aca="true" t="shared" si="30" ref="C17:C34">A17*$Z$4</f>
        <v>0.0708288</v>
      </c>
      <c r="D17" s="143">
        <f aca="true" t="shared" si="31" ref="D17:D35">(0.187/$B$5)*10^6/(SQRT(B17^2+C17^2))</f>
        <v>9016.609100676</v>
      </c>
      <c r="E17" s="143">
        <f aca="true" t="shared" si="32" ref="E17:E34">$E$7/A17</f>
        <v>21929.824561403508</v>
      </c>
      <c r="F17" s="105">
        <f t="shared" si="0"/>
        <v>76.30509958774202</v>
      </c>
      <c r="G17" s="105">
        <f t="shared" si="1"/>
        <v>87.3858733917461</v>
      </c>
      <c r="H17" s="50">
        <f t="shared" si="2"/>
        <v>2.103996663867581</v>
      </c>
      <c r="I17" s="49">
        <f t="shared" si="3"/>
        <v>9.598681311574682</v>
      </c>
      <c r="J17" s="49">
        <f t="shared" si="24"/>
        <v>0.7319575559034787</v>
      </c>
      <c r="K17" s="49">
        <f t="shared" si="4"/>
        <v>0</v>
      </c>
      <c r="L17" s="49">
        <f t="shared" si="5"/>
        <v>0</v>
      </c>
      <c r="M17" s="49">
        <f t="shared" si="25"/>
        <v>3.845015068897124E-05</v>
      </c>
      <c r="N17" s="49">
        <f t="shared" si="20"/>
        <v>0.004138483676139038</v>
      </c>
      <c r="O17" s="49">
        <f t="shared" si="6"/>
        <v>0.14943917232369078</v>
      </c>
      <c r="P17" s="205">
        <f t="shared" si="7"/>
        <v>3.999319797899653</v>
      </c>
      <c r="Q17" s="49">
        <f t="shared" si="8"/>
        <v>0</v>
      </c>
      <c r="R17" s="197">
        <f t="shared" si="9"/>
        <v>0.4093005615414427</v>
      </c>
      <c r="S17" s="53">
        <f t="shared" si="26"/>
        <v>12.265556192983535</v>
      </c>
      <c r="T17" s="49">
        <f t="shared" si="10"/>
        <v>10.598681311574682</v>
      </c>
      <c r="U17" s="49">
        <f t="shared" si="11"/>
        <v>2.6668748814088534</v>
      </c>
      <c r="V17" s="54">
        <f t="shared" si="12"/>
        <v>4.734443807016465</v>
      </c>
      <c r="W17" s="97">
        <f t="shared" si="13"/>
        <v>-11.007301671015778</v>
      </c>
      <c r="X17" s="25">
        <f t="shared" si="27"/>
        <v>-0.3950575537990719</v>
      </c>
      <c r="Y17" s="23">
        <f t="shared" si="14"/>
        <v>5.387643813659597</v>
      </c>
      <c r="Z17" s="23">
        <f t="shared" si="15"/>
        <v>1.3883240157599444</v>
      </c>
      <c r="AA17" s="205">
        <f>ERF(AH17)+ERF(AI17)-1</f>
        <v>0.560622182092831</v>
      </c>
      <c r="AB17" s="52">
        <f t="shared" si="16"/>
        <v>17</v>
      </c>
      <c r="AC17" s="136">
        <f t="shared" si="21"/>
        <v>40</v>
      </c>
      <c r="AD17" s="137">
        <f t="shared" si="28"/>
        <v>17.9</v>
      </c>
      <c r="AE17" s="199">
        <f t="shared" si="22"/>
        <v>0</v>
      </c>
      <c r="AF17" s="154">
        <f t="shared" si="17"/>
        <v>0.9225809713351072</v>
      </c>
      <c r="AG17" s="177">
        <f>IF(ABS(AF17)&lt;10,SIGN(AF17)*ERF(ABS(AF17)),SIGN(AF17))</f>
        <v>0.808013915771464</v>
      </c>
      <c r="AH17" s="193">
        <f t="shared" si="18"/>
        <v>1.1739654321893598</v>
      </c>
      <c r="AI17" s="193">
        <f t="shared" si="19"/>
        <v>0.6711965104808545</v>
      </c>
    </row>
    <row r="18" spans="1:35" s="26" customFormat="1" ht="15" customHeight="1">
      <c r="A18" s="262">
        <f t="shared" si="23"/>
        <v>33</v>
      </c>
      <c r="B18" s="271">
        <f t="shared" si="29"/>
        <v>629.047449926416</v>
      </c>
      <c r="C18" s="128">
        <f t="shared" si="30"/>
        <v>0.0730422</v>
      </c>
      <c r="D18" s="143">
        <f t="shared" si="31"/>
        <v>8743.378521867637</v>
      </c>
      <c r="E18" s="143">
        <f t="shared" si="32"/>
        <v>21265.28442317916</v>
      </c>
      <c r="F18" s="105">
        <f t="shared" si="0"/>
        <v>77.67090732279615</v>
      </c>
      <c r="G18" s="105">
        <f t="shared" si="1"/>
        <v>88.58099395293237</v>
      </c>
      <c r="H18" s="50">
        <f t="shared" si="2"/>
        <v>2.190369501369323</v>
      </c>
      <c r="I18" s="49">
        <f t="shared" si="3"/>
        <v>9.89864010256139</v>
      </c>
      <c r="J18" s="49">
        <f t="shared" si="24"/>
        <v>0.7548312295254624</v>
      </c>
      <c r="K18" s="49">
        <f t="shared" si="4"/>
        <v>0</v>
      </c>
      <c r="L18" s="49">
        <f t="shared" si="5"/>
        <v>0</v>
      </c>
      <c r="M18" s="49">
        <f t="shared" si="25"/>
        <v>3.7931387423642375E-05</v>
      </c>
      <c r="N18" s="49">
        <f t="shared" si="20"/>
        <v>0.004082595396561682</v>
      </c>
      <c r="O18" s="49">
        <f t="shared" si="6"/>
        <v>0.15919047854520063</v>
      </c>
      <c r="P18" s="205">
        <f t="shared" si="7"/>
        <v>3.999319797899653</v>
      </c>
      <c r="Q18" s="49">
        <f t="shared" si="8"/>
        <v>0</v>
      </c>
      <c r="R18" s="197">
        <f t="shared" si="9"/>
        <v>0.41009875433728693</v>
      </c>
      <c r="S18" s="53">
        <f t="shared" si="26"/>
        <v>12.662381432209763</v>
      </c>
      <c r="T18" s="49">
        <f t="shared" si="10"/>
        <v>10.89864010256139</v>
      </c>
      <c r="U18" s="49">
        <f t="shared" si="11"/>
        <v>2.763741329648372</v>
      </c>
      <c r="V18" s="54">
        <f t="shared" si="12"/>
        <v>4.337618567790237</v>
      </c>
      <c r="W18" s="97">
        <f t="shared" si="13"/>
        <v>-11.30805865479833</v>
      </c>
      <c r="X18" s="25">
        <f t="shared" si="27"/>
        <v>-0.3986359717737429</v>
      </c>
      <c r="Y18" s="23">
        <f t="shared" si="14"/>
        <v>5.387643813659597</v>
      </c>
      <c r="Z18" s="23">
        <f t="shared" si="15"/>
        <v>1.3883240157599444</v>
      </c>
      <c r="AA18" s="205">
        <f>ERF(AH18)+ERF(AI18)-1</f>
        <v>0.5494816256311303</v>
      </c>
      <c r="AB18" s="52">
        <f t="shared" si="16"/>
        <v>17</v>
      </c>
      <c r="AC18" s="136">
        <f t="shared" si="21"/>
        <v>40</v>
      </c>
      <c r="AD18" s="137">
        <f t="shared" si="28"/>
        <v>17.9</v>
      </c>
      <c r="AE18" s="199">
        <f t="shared" si="22"/>
        <v>0</v>
      </c>
      <c r="AF18" s="154">
        <f t="shared" si="17"/>
        <v>0.9101336568605412</v>
      </c>
      <c r="AG18" s="177">
        <f>IF(ABS(AF18)&lt;10,SIGN(AF18)*ERF(ABS(AF18)),SIGN(AF18))</f>
        <v>0.8019486235544304</v>
      </c>
      <c r="AH18" s="193">
        <f t="shared" si="18"/>
        <v>1.158126478893386</v>
      </c>
      <c r="AI18" s="193">
        <f t="shared" si="19"/>
        <v>0.662140834827696</v>
      </c>
    </row>
    <row r="19" spans="1:35" s="26" customFormat="1" ht="15" customHeight="1">
      <c r="A19" s="262">
        <f t="shared" si="23"/>
        <v>34</v>
      </c>
      <c r="B19" s="271">
        <f t="shared" si="29"/>
        <v>648.10949386358</v>
      </c>
      <c r="C19" s="128">
        <f t="shared" si="30"/>
        <v>0.07525559999999999</v>
      </c>
      <c r="D19" s="143">
        <f t="shared" si="31"/>
        <v>8486.220330048001</v>
      </c>
      <c r="E19" s="143">
        <f t="shared" si="32"/>
        <v>20639.83488132095</v>
      </c>
      <c r="F19" s="105">
        <f t="shared" si="0"/>
        <v>79.05404660555315</v>
      </c>
      <c r="G19" s="105">
        <f t="shared" si="1"/>
        <v>89.79624117999607</v>
      </c>
      <c r="H19" s="50">
        <f t="shared" si="2"/>
        <v>2.279573166501665</v>
      </c>
      <c r="I19" s="49">
        <f t="shared" si="3"/>
        <v>10.198598893548098</v>
      </c>
      <c r="J19" s="49">
        <f t="shared" si="24"/>
        <v>0.7777049031474461</v>
      </c>
      <c r="K19" s="49">
        <f t="shared" si="4"/>
        <v>0</v>
      </c>
      <c r="L19" s="49">
        <f t="shared" si="5"/>
        <v>0</v>
      </c>
      <c r="M19" s="49">
        <f t="shared" si="25"/>
        <v>3.741804730183414E-05</v>
      </c>
      <c r="N19" s="49">
        <f t="shared" si="20"/>
        <v>0.004027292788147125</v>
      </c>
      <c r="O19" s="49">
        <f t="shared" si="6"/>
        <v>0.169727370936436</v>
      </c>
      <c r="P19" s="205">
        <f t="shared" si="7"/>
        <v>3.999319797899653</v>
      </c>
      <c r="Q19" s="49">
        <f t="shared" si="8"/>
        <v>0</v>
      </c>
      <c r="R19" s="197">
        <f t="shared" si="9"/>
        <v>0.410901412756675</v>
      </c>
      <c r="S19" s="53">
        <f t="shared" si="26"/>
        <v>13.06282813653102</v>
      </c>
      <c r="T19" s="49">
        <f t="shared" si="10"/>
        <v>11.198598893548098</v>
      </c>
      <c r="U19" s="49">
        <f t="shared" si="11"/>
        <v>2.8642292429829226</v>
      </c>
      <c r="V19" s="54">
        <f t="shared" si="12"/>
        <v>3.937171863468979</v>
      </c>
      <c r="W19" s="97">
        <f t="shared" si="13"/>
        <v>-11.608820104204426</v>
      </c>
      <c r="X19" s="25">
        <f t="shared" si="27"/>
        <v>-0.4023064445374507</v>
      </c>
      <c r="Y19" s="23">
        <f t="shared" si="14"/>
        <v>5.387643813659597</v>
      </c>
      <c r="Z19" s="23">
        <f t="shared" si="15"/>
        <v>1.3883240157599444</v>
      </c>
      <c r="AA19" s="205">
        <f>ERF(AH19)+ERF(AI19)-1</f>
        <v>0.5382109658082783</v>
      </c>
      <c r="AB19" s="52">
        <f t="shared" si="16"/>
        <v>17</v>
      </c>
      <c r="AC19" s="136">
        <f t="shared" si="21"/>
        <v>40</v>
      </c>
      <c r="AD19" s="137">
        <f t="shared" si="28"/>
        <v>17.9</v>
      </c>
      <c r="AE19" s="199">
        <f t="shared" si="22"/>
        <v>0</v>
      </c>
      <c r="AF19" s="154">
        <f t="shared" si="17"/>
        <v>0.8978164664278138</v>
      </c>
      <c r="AG19" s="177">
        <f>IF(ABS(AF19)&lt;10,SIGN(AF19)*ERF(ABS(AF19)),SIGN(AF19))</f>
        <v>0.7958098884598992</v>
      </c>
      <c r="AH19" s="193">
        <f t="shared" si="18"/>
        <v>1.1424531057814415</v>
      </c>
      <c r="AI19" s="193">
        <f t="shared" si="19"/>
        <v>0.653179827074186</v>
      </c>
    </row>
    <row r="20" spans="1:35" s="20" customFormat="1" ht="15" customHeight="1">
      <c r="A20" s="261">
        <f t="shared" si="23"/>
        <v>35</v>
      </c>
      <c r="B20" s="270">
        <f t="shared" si="29"/>
        <v>667.1715378007442</v>
      </c>
      <c r="C20" s="127">
        <f t="shared" si="30"/>
        <v>0.077469</v>
      </c>
      <c r="D20" s="142">
        <f t="shared" si="31"/>
        <v>8243.75689204663</v>
      </c>
      <c r="E20" s="142">
        <f t="shared" si="32"/>
        <v>20050.125313283206</v>
      </c>
      <c r="F20" s="104">
        <f t="shared" si="0"/>
        <v>80.45362356162073</v>
      </c>
      <c r="G20" s="104">
        <f t="shared" si="1"/>
        <v>91.03080901287227</v>
      </c>
      <c r="H20" s="98">
        <f t="shared" si="2"/>
        <v>2.371617677555593</v>
      </c>
      <c r="I20" s="95">
        <f t="shared" si="3"/>
        <v>10.498557684534807</v>
      </c>
      <c r="J20" s="95">
        <f t="shared" si="24"/>
        <v>0.8005785767694299</v>
      </c>
      <c r="K20" s="95">
        <f t="shared" si="4"/>
        <v>0</v>
      </c>
      <c r="L20" s="95">
        <f t="shared" si="5"/>
        <v>0</v>
      </c>
      <c r="M20" s="95">
        <f t="shared" si="25"/>
        <v>3.691058045551234E-05</v>
      </c>
      <c r="N20" s="95">
        <f t="shared" si="20"/>
        <v>0.003972624297479324</v>
      </c>
      <c r="O20" s="95">
        <f t="shared" si="6"/>
        <v>0.18112399648902994</v>
      </c>
      <c r="P20" s="207">
        <f t="shared" si="7"/>
        <v>3.999319797899653</v>
      </c>
      <c r="Q20" s="95">
        <f t="shared" si="8"/>
        <v>0</v>
      </c>
      <c r="R20" s="196">
        <f t="shared" si="9"/>
        <v>0.41172233840775574</v>
      </c>
      <c r="S20" s="96">
        <f t="shared" si="26"/>
        <v>13.466994321284664</v>
      </c>
      <c r="T20" s="95">
        <f t="shared" si="10"/>
        <v>11.498557684534807</v>
      </c>
      <c r="U20" s="95">
        <f t="shared" si="11"/>
        <v>2.968436636749857</v>
      </c>
      <c r="V20" s="100">
        <f t="shared" si="12"/>
        <v>3.5330056787153357</v>
      </c>
      <c r="W20" s="101">
        <f t="shared" si="13"/>
        <v>-11.909599820842217</v>
      </c>
      <c r="X20" s="27">
        <f t="shared" si="27"/>
        <v>-0.4060812541143832</v>
      </c>
      <c r="Y20" s="18">
        <f t="shared" si="14"/>
        <v>5.387643813659597</v>
      </c>
      <c r="Z20" s="18">
        <f t="shared" si="15"/>
        <v>1.3883240157599444</v>
      </c>
      <c r="AA20" s="207">
        <f>ERF(AH20)+ERF(AI20)-1</f>
        <v>0.5268245421628057</v>
      </c>
      <c r="AB20" s="99">
        <f t="shared" si="16"/>
        <v>17</v>
      </c>
      <c r="AC20" s="183">
        <f t="shared" si="21"/>
        <v>40</v>
      </c>
      <c r="AD20" s="184">
        <f t="shared" si="28"/>
        <v>17.9</v>
      </c>
      <c r="AE20" s="198">
        <f t="shared" si="22"/>
        <v>0</v>
      </c>
      <c r="AF20" s="153">
        <f t="shared" si="17"/>
        <v>0.8856402005976198</v>
      </c>
      <c r="AG20" s="176">
        <f>IF(ABS(AF20)&lt;10,SIGN(AF20)*ERF(ABS(AF20)),SIGN(AF20))</f>
        <v>0.7896064543432673</v>
      </c>
      <c r="AH20" s="191">
        <f t="shared" si="18"/>
        <v>1.1269590563462901</v>
      </c>
      <c r="AI20" s="191">
        <f t="shared" si="19"/>
        <v>0.6443213448489495</v>
      </c>
    </row>
    <row r="21" spans="1:35" s="26" customFormat="1" ht="15" customHeight="1">
      <c r="A21" s="262">
        <f t="shared" si="23"/>
        <v>36</v>
      </c>
      <c r="B21" s="271">
        <f t="shared" si="29"/>
        <v>686.2335817379083</v>
      </c>
      <c r="C21" s="128">
        <f t="shared" si="30"/>
        <v>0.0796824</v>
      </c>
      <c r="D21" s="143">
        <f t="shared" si="31"/>
        <v>8014.763645045335</v>
      </c>
      <c r="E21" s="143">
        <f t="shared" si="32"/>
        <v>19493.177387914227</v>
      </c>
      <c r="F21" s="105">
        <f t="shared" si="0"/>
        <v>81.86879517125189</v>
      </c>
      <c r="G21" s="105">
        <f t="shared" si="1"/>
        <v>92.28392204569249</v>
      </c>
      <c r="H21" s="50">
        <f t="shared" si="2"/>
        <v>2.4665158447652544</v>
      </c>
      <c r="I21" s="49">
        <f t="shared" si="3"/>
        <v>10.798516475521517</v>
      </c>
      <c r="J21" s="49">
        <f t="shared" si="24"/>
        <v>0.8234522503914136</v>
      </c>
      <c r="K21" s="49">
        <f t="shared" si="4"/>
        <v>0</v>
      </c>
      <c r="L21" s="49">
        <f t="shared" si="5"/>
        <v>0</v>
      </c>
      <c r="M21" s="49">
        <f t="shared" si="25"/>
        <v>3.6409375821027256E-05</v>
      </c>
      <c r="N21" s="49">
        <f t="shared" si="20"/>
        <v>0.003918631774547569</v>
      </c>
      <c r="O21" s="49">
        <f t="shared" si="6"/>
        <v>0.19346374448593462</v>
      </c>
      <c r="P21" s="205">
        <f t="shared" si="7"/>
        <v>3.999319797899653</v>
      </c>
      <c r="Q21" s="49">
        <f t="shared" si="8"/>
        <v>0</v>
      </c>
      <c r="R21" s="197">
        <f t="shared" si="9"/>
        <v>0.4125759482125346</v>
      </c>
      <c r="S21" s="53">
        <f t="shared" si="26"/>
        <v>13.874990644759787</v>
      </c>
      <c r="T21" s="49">
        <f t="shared" si="10"/>
        <v>11.798516475521517</v>
      </c>
      <c r="U21" s="49">
        <f t="shared" si="11"/>
        <v>3.0764741692382707</v>
      </c>
      <c r="V21" s="54">
        <f t="shared" si="12"/>
        <v>3.1250093552402127</v>
      </c>
      <c r="W21" s="97">
        <f t="shared" si="13"/>
        <v>-12.210412221633703</v>
      </c>
      <c r="X21" s="25">
        <f t="shared" si="27"/>
        <v>-0.4099741779785635</v>
      </c>
      <c r="Y21" s="23">
        <f t="shared" si="14"/>
        <v>5.387643813659597</v>
      </c>
      <c r="Z21" s="23">
        <f t="shared" si="15"/>
        <v>1.3883240157599444</v>
      </c>
      <c r="AA21" s="205">
        <f>ERF(AH21)+ERF(AI21)-1</f>
        <v>0.5153364016967401</v>
      </c>
      <c r="AB21" s="52">
        <f t="shared" si="16"/>
        <v>17</v>
      </c>
      <c r="AC21" s="136">
        <f t="shared" si="21"/>
        <v>40</v>
      </c>
      <c r="AD21" s="137">
        <f t="shared" si="28"/>
        <v>17.9</v>
      </c>
      <c r="AE21" s="199">
        <f t="shared" si="22"/>
        <v>0</v>
      </c>
      <c r="AF21" s="154">
        <f t="shared" si="17"/>
        <v>0.8736141915902339</v>
      </c>
      <c r="AG21" s="177">
        <f>IF(ABS(AF21)&lt;10,SIGN(AF21)*ERF(ABS(AF21)),SIGN(AF21))</f>
        <v>0.7833468701976631</v>
      </c>
      <c r="AH21" s="193">
        <f t="shared" si="18"/>
        <v>1.1116562056475183</v>
      </c>
      <c r="AI21" s="193">
        <f t="shared" si="19"/>
        <v>0.6355721775329494</v>
      </c>
    </row>
    <row r="22" spans="1:35" s="26" customFormat="1" ht="15" customHeight="1">
      <c r="A22" s="262">
        <f t="shared" si="23"/>
        <v>37</v>
      </c>
      <c r="B22" s="271">
        <f t="shared" si="29"/>
        <v>705.2956256750724</v>
      </c>
      <c r="C22" s="128">
        <f t="shared" si="30"/>
        <v>0.08189579999999999</v>
      </c>
      <c r="D22" s="143">
        <f t="shared" si="31"/>
        <v>7798.14841139546</v>
      </c>
      <c r="E22" s="143">
        <f t="shared" si="32"/>
        <v>18966.33475580844</v>
      </c>
      <c r="F22" s="105">
        <f t="shared" si="0"/>
        <v>83.29876662055231</v>
      </c>
      <c r="G22" s="105">
        <f t="shared" si="1"/>
        <v>93.5548350746678</v>
      </c>
      <c r="H22" s="50">
        <f t="shared" si="2"/>
        <v>2.5642862087474216</v>
      </c>
      <c r="I22" s="49">
        <f t="shared" si="3"/>
        <v>11.098475266508226</v>
      </c>
      <c r="J22" s="49">
        <f t="shared" si="24"/>
        <v>0.8463259240133972</v>
      </c>
      <c r="K22" s="49">
        <f t="shared" si="4"/>
        <v>0</v>
      </c>
      <c r="L22" s="49">
        <f t="shared" si="5"/>
        <v>0</v>
      </c>
      <c r="M22" s="49">
        <f t="shared" si="25"/>
        <v>3.591476589444386E-05</v>
      </c>
      <c r="N22" s="49">
        <f t="shared" si="20"/>
        <v>0.0038653509859441493</v>
      </c>
      <c r="O22" s="49">
        <f t="shared" si="6"/>
        <v>0.20684072489833374</v>
      </c>
      <c r="P22" s="205">
        <f t="shared" si="7"/>
        <v>3.999319797899653</v>
      </c>
      <c r="Q22" s="49">
        <f t="shared" si="8"/>
        <v>0</v>
      </c>
      <c r="R22" s="197">
        <f t="shared" si="9"/>
        <v>0.4134751261018672</v>
      </c>
      <c r="S22" s="53">
        <f t="shared" si="26"/>
        <v>14.286942677241791</v>
      </c>
      <c r="T22" s="49">
        <f t="shared" si="10"/>
        <v>12.098475266508226</v>
      </c>
      <c r="U22" s="49">
        <f t="shared" si="11"/>
        <v>3.1884674107335655</v>
      </c>
      <c r="V22" s="54">
        <f t="shared" si="12"/>
        <v>2.7130573227582087</v>
      </c>
      <c r="W22" s="97">
        <f t="shared" si="13"/>
        <v>-12.511270190509745</v>
      </c>
      <c r="X22" s="25">
        <f t="shared" si="27"/>
        <v>-0.4140015581200256</v>
      </c>
      <c r="Y22" s="23">
        <f t="shared" si="14"/>
        <v>5.387643813659597</v>
      </c>
      <c r="Z22" s="23">
        <f t="shared" si="15"/>
        <v>1.3883240157599444</v>
      </c>
      <c r="AA22" s="205">
        <f>ERF(AH22)+ERF(AI22)-1</f>
        <v>0.5037602160072199</v>
      </c>
      <c r="AB22" s="52">
        <f t="shared" si="16"/>
        <v>17</v>
      </c>
      <c r="AC22" s="136">
        <f t="shared" si="21"/>
        <v>40</v>
      </c>
      <c r="AD22" s="137">
        <f t="shared" si="28"/>
        <v>17.9</v>
      </c>
      <c r="AE22" s="199">
        <f t="shared" si="22"/>
        <v>0</v>
      </c>
      <c r="AF22" s="154">
        <f t="shared" si="17"/>
        <v>0.8617464173859011</v>
      </c>
      <c r="AG22" s="177">
        <f>IF(ABS(AF22)&lt;10,SIGN(AF22)*ERF(ABS(AF22)),SIGN(AF22))</f>
        <v>0.7770393014403159</v>
      </c>
      <c r="AH22" s="193">
        <f t="shared" si="18"/>
        <v>1.0965547055019504</v>
      </c>
      <c r="AI22" s="193">
        <f t="shared" si="19"/>
        <v>0.6269381292698517</v>
      </c>
    </row>
    <row r="23" spans="1:35" s="26" customFormat="1" ht="15" customHeight="1">
      <c r="A23" s="262">
        <f t="shared" si="23"/>
        <v>38</v>
      </c>
      <c r="B23" s="271">
        <f t="shared" si="29"/>
        <v>724.3576696122366</v>
      </c>
      <c r="C23" s="128">
        <f t="shared" si="30"/>
        <v>0.0841092</v>
      </c>
      <c r="D23" s="143">
        <f t="shared" si="31"/>
        <v>7592.9339795166325</v>
      </c>
      <c r="E23" s="143">
        <f t="shared" si="32"/>
        <v>18467.220683287163</v>
      </c>
      <c r="F23" s="105">
        <f t="shared" si="0"/>
        <v>84.74278870401602</v>
      </c>
      <c r="G23" s="105">
        <f t="shared" si="1"/>
        <v>94.84283253191334</v>
      </c>
      <c r="H23" s="50">
        <f t="shared" si="2"/>
        <v>2.6649486263429574</v>
      </c>
      <c r="I23" s="49">
        <f t="shared" si="3"/>
        <v>11.398434057494933</v>
      </c>
      <c r="J23" s="49">
        <f t="shared" si="24"/>
        <v>0.869199597635381</v>
      </c>
      <c r="K23" s="49">
        <f t="shared" si="4"/>
        <v>0</v>
      </c>
      <c r="L23" s="49">
        <f t="shared" si="5"/>
        <v>0</v>
      </c>
      <c r="M23" s="49">
        <f t="shared" si="25"/>
        <v>3.5427031334912995E-05</v>
      </c>
      <c r="N23" s="49">
        <f t="shared" si="20"/>
        <v>0.003812812111614482</v>
      </c>
      <c r="O23" s="49">
        <f t="shared" si="6"/>
        <v>0.22136157027117595</v>
      </c>
      <c r="P23" s="205">
        <f t="shared" si="7"/>
        <v>3.999319797899653</v>
      </c>
      <c r="Q23" s="49">
        <f t="shared" si="8"/>
        <v>0</v>
      </c>
      <c r="R23" s="197">
        <f t="shared" si="9"/>
        <v>0.4144366947791571</v>
      </c>
      <c r="S23" s="53">
        <f t="shared" si="26"/>
        <v>14.702993760999838</v>
      </c>
      <c r="T23" s="49">
        <f t="shared" si="10"/>
        <v>12.398434057494933</v>
      </c>
      <c r="U23" s="49">
        <f t="shared" si="11"/>
        <v>3.3045597035049052</v>
      </c>
      <c r="V23" s="54">
        <f t="shared" si="12"/>
        <v>2.2970062390001615</v>
      </c>
      <c r="W23" s="97">
        <f t="shared" si="13"/>
        <v>-12.812190550173742</v>
      </c>
      <c r="X23" s="25">
        <f t="shared" si="27"/>
        <v>-0.4181818975888012</v>
      </c>
      <c r="Y23" s="23">
        <f t="shared" si="14"/>
        <v>5.387643813659597</v>
      </c>
      <c r="Z23" s="23">
        <f t="shared" si="15"/>
        <v>1.3883240157599444</v>
      </c>
      <c r="AA23" s="205">
        <f>ERF(AH23)+ERF(AI23)-1</f>
        <v>0.49210918144640003</v>
      </c>
      <c r="AB23" s="52">
        <f t="shared" si="16"/>
        <v>17</v>
      </c>
      <c r="AC23" s="136">
        <f t="shared" si="21"/>
        <v>40</v>
      </c>
      <c r="AD23" s="137">
        <f t="shared" si="28"/>
        <v>17.9</v>
      </c>
      <c r="AE23" s="199">
        <f t="shared" si="22"/>
        <v>0</v>
      </c>
      <c r="AF23" s="154">
        <f t="shared" si="17"/>
        <v>0.8500436121790866</v>
      </c>
      <c r="AG23" s="177">
        <f>IF(ABS(AF23)&lt;10,SIGN(AF23)*ERF(ABS(AF23)),SIGN(AF23))</f>
        <v>0.7706918259960233</v>
      </c>
      <c r="AH23" s="193">
        <f t="shared" si="18"/>
        <v>1.0816631250344235</v>
      </c>
      <c r="AI23" s="193">
        <f t="shared" si="19"/>
        <v>0.6184240993237496</v>
      </c>
    </row>
    <row r="24" spans="1:35" s="26" customFormat="1" ht="15" customHeight="1">
      <c r="A24" s="262">
        <f t="shared" si="23"/>
        <v>39</v>
      </c>
      <c r="B24" s="271">
        <f t="shared" si="29"/>
        <v>743.4197135494006</v>
      </c>
      <c r="C24" s="128">
        <f t="shared" si="30"/>
        <v>0.0863226</v>
      </c>
      <c r="D24" s="143">
        <f t="shared" si="31"/>
        <v>7398.243364657231</v>
      </c>
      <c r="E24" s="143">
        <f t="shared" si="32"/>
        <v>17993.70220422852</v>
      </c>
      <c r="F24" s="105">
        <f t="shared" si="0"/>
        <v>86.2001552972916</v>
      </c>
      <c r="G24" s="105">
        <f t="shared" si="1"/>
        <v>96.14722782597657</v>
      </c>
      <c r="H24" s="50">
        <f t="shared" si="2"/>
        <v>2.768530517197636</v>
      </c>
      <c r="I24" s="49">
        <f t="shared" si="3"/>
        <v>11.698392848481644</v>
      </c>
      <c r="J24" s="49">
        <f t="shared" si="24"/>
        <v>0.8920732712573646</v>
      </c>
      <c r="K24" s="49">
        <f t="shared" si="4"/>
        <v>0</v>
      </c>
      <c r="L24" s="49">
        <f t="shared" si="5"/>
        <v>0</v>
      </c>
      <c r="M24" s="49">
        <f t="shared" si="25"/>
        <v>3.494640538239431E-05</v>
      </c>
      <c r="N24" s="49">
        <f t="shared" si="20"/>
        <v>0.003761040221495088</v>
      </c>
      <c r="O24" s="49">
        <f t="shared" si="6"/>
        <v>0.2371473642712594</v>
      </c>
      <c r="P24" s="205">
        <f t="shared" si="7"/>
        <v>3.999319797899653</v>
      </c>
      <c r="Q24" s="49">
        <f t="shared" si="8"/>
        <v>0</v>
      </c>
      <c r="R24" s="197">
        <f t="shared" si="9"/>
        <v>0.41547470224736127</v>
      </c>
      <c r="S24" s="53">
        <f t="shared" si="26"/>
        <v>15.123306472419394</v>
      </c>
      <c r="T24" s="49">
        <f t="shared" si="10"/>
        <v>12.698392848481644</v>
      </c>
      <c r="U24" s="49">
        <f t="shared" si="11"/>
        <v>3.4249136239377496</v>
      </c>
      <c r="V24" s="54">
        <f t="shared" si="12"/>
        <v>1.8766935275806063</v>
      </c>
      <c r="W24" s="97">
        <f t="shared" si="13"/>
        <v>-13.113187348628657</v>
      </c>
      <c r="X24" s="25">
        <f t="shared" si="27"/>
        <v>-0.4225361612666223</v>
      </c>
      <c r="Y24" s="23">
        <f t="shared" si="14"/>
        <v>5.387643813659597</v>
      </c>
      <c r="Z24" s="23">
        <f t="shared" si="15"/>
        <v>1.3883240157599444</v>
      </c>
      <c r="AA24" s="205">
        <f>ERF(AH24)+ERF(AI24)-1</f>
        <v>0.4803961055789059</v>
      </c>
      <c r="AB24" s="52">
        <f t="shared" si="16"/>
        <v>17</v>
      </c>
      <c r="AC24" s="136">
        <f t="shared" si="21"/>
        <v>40</v>
      </c>
      <c r="AD24" s="137">
        <f t="shared" si="28"/>
        <v>17.9</v>
      </c>
      <c r="AE24" s="199">
        <f t="shared" si="22"/>
        <v>0</v>
      </c>
      <c r="AF24" s="154">
        <f t="shared" si="17"/>
        <v>0.8385113723782494</v>
      </c>
      <c r="AG24" s="177">
        <f>IF(ABS(AF24)&lt;10,SIGN(AF24)*ERF(ABS(AF24)),SIGN(AF24))</f>
        <v>0.7643120436251226</v>
      </c>
      <c r="AH24" s="193">
        <f t="shared" si="18"/>
        <v>1.0669885855603336</v>
      </c>
      <c r="AI24" s="193">
        <f t="shared" si="19"/>
        <v>0.610034159196165</v>
      </c>
    </row>
    <row r="25" spans="1:35" s="20" customFormat="1" ht="15" customHeight="1">
      <c r="A25" s="261">
        <f t="shared" si="23"/>
        <v>40</v>
      </c>
      <c r="B25" s="270">
        <f t="shared" si="29"/>
        <v>762.4817574865648</v>
      </c>
      <c r="C25" s="127">
        <f t="shared" si="30"/>
        <v>0.088536</v>
      </c>
      <c r="D25" s="142">
        <f t="shared" si="31"/>
        <v>7213.287280540801</v>
      </c>
      <c r="E25" s="142">
        <f t="shared" si="32"/>
        <v>17543.859649122805</v>
      </c>
      <c r="F25" s="104">
        <f t="shared" si="0"/>
        <v>87.67020091420056</v>
      </c>
      <c r="G25" s="104">
        <f t="shared" si="1"/>
        <v>97.46736260758955</v>
      </c>
      <c r="H25" s="98">
        <f t="shared" si="2"/>
        <v>2.875061406486203</v>
      </c>
      <c r="I25" s="95">
        <f t="shared" si="3"/>
        <v>11.998351639468352</v>
      </c>
      <c r="J25" s="95">
        <f t="shared" si="24"/>
        <v>0.9149469448793484</v>
      </c>
      <c r="K25" s="95">
        <f t="shared" si="4"/>
        <v>0</v>
      </c>
      <c r="L25" s="95">
        <f t="shared" si="5"/>
        <v>0</v>
      </c>
      <c r="M25" s="95">
        <f t="shared" si="25"/>
        <v>3.447307806539914E-05</v>
      </c>
      <c r="N25" s="95">
        <f t="shared" si="20"/>
        <v>0.0037100557294551468</v>
      </c>
      <c r="O25" s="95">
        <f t="shared" si="6"/>
        <v>0.25433616785829627</v>
      </c>
      <c r="P25" s="207">
        <f t="shared" si="7"/>
        <v>3.999319797899653</v>
      </c>
      <c r="Q25" s="95">
        <f t="shared" si="8"/>
        <v>0</v>
      </c>
      <c r="R25" s="196">
        <f t="shared" si="9"/>
        <v>0.41660681399077726</v>
      </c>
      <c r="S25" s="96">
        <f t="shared" si="26"/>
        <v>15.548066083533083</v>
      </c>
      <c r="T25" s="95">
        <f t="shared" si="10"/>
        <v>12.998351639468352</v>
      </c>
      <c r="U25" s="95">
        <f t="shared" si="11"/>
        <v>3.5497144440647315</v>
      </c>
      <c r="V25" s="100">
        <f t="shared" si="12"/>
        <v>1.451933916466917</v>
      </c>
      <c r="W25" s="101">
        <f t="shared" si="13"/>
        <v>-13.41427825135878</v>
      </c>
      <c r="X25" s="27">
        <f t="shared" si="27"/>
        <v>-0.427089257999798</v>
      </c>
      <c r="Y25" s="18">
        <f t="shared" si="14"/>
        <v>5.387643813659597</v>
      </c>
      <c r="Z25" s="18">
        <f t="shared" si="15"/>
        <v>1.3883240157599444</v>
      </c>
      <c r="AA25" s="207">
        <f>ERF(AH25)+ERF(AI25)-1</f>
        <v>0.4686333352121461</v>
      </c>
      <c r="AB25" s="99">
        <f t="shared" si="16"/>
        <v>17</v>
      </c>
      <c r="AC25" s="183">
        <f t="shared" si="21"/>
        <v>40</v>
      </c>
      <c r="AD25" s="184">
        <f t="shared" si="28"/>
        <v>17.9</v>
      </c>
      <c r="AE25" s="198">
        <f t="shared" si="22"/>
        <v>1.451933916466917</v>
      </c>
      <c r="AF25" s="153">
        <f t="shared" si="17"/>
        <v>0.8271542575673027</v>
      </c>
      <c r="AG25" s="176">
        <f>IF(ABS(AF25)&lt;10,SIGN(AF25)*ERF(ABS(AF25)),SIGN(AF25))</f>
        <v>0.7579074358627489</v>
      </c>
      <c r="AH25" s="191">
        <f t="shared" si="18"/>
        <v>1.0525368890570308</v>
      </c>
      <c r="AI25" s="191">
        <f t="shared" si="19"/>
        <v>0.6017716260775744</v>
      </c>
    </row>
    <row r="26" spans="1:35" s="26" customFormat="1" ht="15" customHeight="1">
      <c r="A26" s="262">
        <f t="shared" si="23"/>
        <v>41</v>
      </c>
      <c r="B26" s="271">
        <f t="shared" si="29"/>
        <v>781.543801423729</v>
      </c>
      <c r="C26" s="128">
        <f t="shared" si="30"/>
        <v>0.0907494</v>
      </c>
      <c r="D26" s="143">
        <f t="shared" si="31"/>
        <v>7037.3534444300485</v>
      </c>
      <c r="E26" s="143">
        <f t="shared" si="32"/>
        <v>17115.960633290542</v>
      </c>
      <c r="F26" s="105">
        <f t="shared" si="0"/>
        <v>89.15229835798301</v>
      </c>
      <c r="G26" s="105">
        <f t="shared" si="1"/>
        <v>98.80260597703824</v>
      </c>
      <c r="H26" s="50">
        <f t="shared" si="2"/>
        <v>2.984579786869107</v>
      </c>
      <c r="I26" s="49">
        <f t="shared" si="3"/>
        <v>12.29831043045506</v>
      </c>
      <c r="J26" s="49">
        <f t="shared" si="24"/>
        <v>0.9378206185013322</v>
      </c>
      <c r="K26" s="49">
        <f t="shared" si="4"/>
        <v>0</v>
      </c>
      <c r="L26" s="49">
        <f t="shared" si="5"/>
        <v>0</v>
      </c>
      <c r="M26" s="49">
        <f t="shared" si="25"/>
        <v>3.4007200182360226E-05</v>
      </c>
      <c r="N26" s="49">
        <f t="shared" si="20"/>
        <v>0.0036598748227613604</v>
      </c>
      <c r="O26" s="49">
        <f t="shared" si="6"/>
        <v>0.2730861449132575</v>
      </c>
      <c r="P26" s="205">
        <f t="shared" si="7"/>
        <v>3.999319797899653</v>
      </c>
      <c r="Q26" s="49">
        <f t="shared" si="8"/>
        <v>0</v>
      </c>
      <c r="R26" s="197">
        <f t="shared" si="9"/>
        <v>0.41784875135880295</v>
      </c>
      <c r="S26" s="53">
        <f t="shared" si="26"/>
        <v>15.97748498841899</v>
      </c>
      <c r="T26" s="49">
        <f t="shared" si="10"/>
        <v>13.29831043045506</v>
      </c>
      <c r="U26" s="49">
        <f t="shared" si="11"/>
        <v>3.679174557963929</v>
      </c>
      <c r="V26" s="54">
        <f t="shared" si="12"/>
        <v>1.0225150115810102</v>
      </c>
      <c r="W26" s="97">
        <f t="shared" si="13"/>
        <v>-13.715478979713517</v>
      </c>
      <c r="X26" s="25">
        <f t="shared" si="27"/>
        <v>-0.43186976563317714</v>
      </c>
      <c r="Y26" s="23">
        <f t="shared" si="14"/>
        <v>5.387643813659597</v>
      </c>
      <c r="Z26" s="23">
        <f t="shared" si="15"/>
        <v>1.3883240157599444</v>
      </c>
      <c r="AA26" s="205">
        <f>ERF(AH26)+ERF(AI26)-1</f>
        <v>0.456832661193709</v>
      </c>
      <c r="AB26" s="52">
        <f t="shared" si="16"/>
        <v>17</v>
      </c>
      <c r="AC26" s="136">
        <f t="shared" si="21"/>
        <v>40</v>
      </c>
      <c r="AD26" s="137">
        <f t="shared" si="28"/>
        <v>17.9</v>
      </c>
      <c r="AE26" s="199">
        <f t="shared" si="22"/>
        <v>0</v>
      </c>
      <c r="AF26" s="154">
        <f t="shared" si="17"/>
        <v>0.8159758860354358</v>
      </c>
      <c r="AG26" s="177">
        <f>IF(ABS(AF26)&lt;10,SIGN(AF26)*ERF(ABS(AF26)),SIGN(AF26))</f>
        <v>0.7514849648420382</v>
      </c>
      <c r="AH26" s="193">
        <f t="shared" si="18"/>
        <v>1.0383126397235654</v>
      </c>
      <c r="AI26" s="193">
        <f t="shared" si="19"/>
        <v>0.593639132347306</v>
      </c>
    </row>
    <row r="27" spans="1:35" s="26" customFormat="1" ht="15" customHeight="1">
      <c r="A27" s="262">
        <f t="shared" si="23"/>
        <v>42</v>
      </c>
      <c r="B27" s="271">
        <f t="shared" si="29"/>
        <v>800.605845360893</v>
      </c>
      <c r="C27" s="128">
        <f t="shared" si="30"/>
        <v>0.0929628</v>
      </c>
      <c r="D27" s="143">
        <f t="shared" si="31"/>
        <v>6869.797410038858</v>
      </c>
      <c r="E27" s="143">
        <f t="shared" si="32"/>
        <v>16708.43776106934</v>
      </c>
      <c r="F27" s="105">
        <f t="shared" si="0"/>
        <v>90.64585647342498</v>
      </c>
      <c r="G27" s="105">
        <f t="shared" si="1"/>
        <v>100.15235364754948</v>
      </c>
      <c r="H27" s="50">
        <f t="shared" si="2"/>
        <v>3.0971270477748685</v>
      </c>
      <c r="I27" s="49">
        <f t="shared" si="3"/>
        <v>12.598269221441768</v>
      </c>
      <c r="J27" s="49">
        <f t="shared" si="24"/>
        <v>0.9606942921233158</v>
      </c>
      <c r="K27" s="49">
        <f t="shared" si="4"/>
        <v>0</v>
      </c>
      <c r="L27" s="49">
        <f t="shared" si="5"/>
        <v>0</v>
      </c>
      <c r="M27" s="49">
        <f t="shared" si="25"/>
        <v>3.354888704687184E-05</v>
      </c>
      <c r="N27" s="49">
        <f t="shared" si="20"/>
        <v>0.0036105098660322446</v>
      </c>
      <c r="O27" s="49">
        <f t="shared" si="6"/>
        <v>0.29357903880419217</v>
      </c>
      <c r="P27" s="205">
        <f t="shared" si="7"/>
        <v>3.999319797899653</v>
      </c>
      <c r="Q27" s="49">
        <f t="shared" si="8"/>
        <v>0</v>
      </c>
      <c r="R27" s="197">
        <f t="shared" si="9"/>
        <v>0.4192197969125746</v>
      </c>
      <c r="S27" s="53">
        <f t="shared" si="26"/>
        <v>16.411805614799437</v>
      </c>
      <c r="T27" s="49">
        <f t="shared" si="10"/>
        <v>13.598269221441768</v>
      </c>
      <c r="U27" s="49">
        <f t="shared" si="11"/>
        <v>3.813536393357669</v>
      </c>
      <c r="V27" s="54">
        <f t="shared" si="12"/>
        <v>0.5881943852005627</v>
      </c>
      <c r="W27" s="97">
        <f t="shared" si="13"/>
        <v>-14.016808816253995</v>
      </c>
      <c r="X27" s="25">
        <f t="shared" si="27"/>
        <v>-0.4369105795781074</v>
      </c>
      <c r="Y27" s="23">
        <f t="shared" si="14"/>
        <v>5.387643813659597</v>
      </c>
      <c r="Z27" s="23">
        <f t="shared" si="15"/>
        <v>1.3883240157599444</v>
      </c>
      <c r="AA27" s="205">
        <f>ERF(AH27)+ERF(AI27)-1</f>
        <v>0.44500543534262715</v>
      </c>
      <c r="AB27" s="52">
        <f t="shared" si="16"/>
        <v>17</v>
      </c>
      <c r="AC27" s="136">
        <f t="shared" si="21"/>
        <v>40</v>
      </c>
      <c r="AD27" s="137">
        <f t="shared" si="28"/>
        <v>17.9</v>
      </c>
      <c r="AE27" s="199">
        <f t="shared" si="22"/>
        <v>0</v>
      </c>
      <c r="AF27" s="154">
        <f t="shared" si="17"/>
        <v>0.8049790246411891</v>
      </c>
      <c r="AG27" s="177">
        <f>IF(ABS(AF27)&lt;10,SIGN(AF27)*ERF(ABS(AF27)),SIGN(AF27))</f>
        <v>0.74505146293697</v>
      </c>
      <c r="AH27" s="193">
        <f t="shared" si="18"/>
        <v>1.0243193583308865</v>
      </c>
      <c r="AI27" s="193">
        <f t="shared" si="19"/>
        <v>0.5856386909514918</v>
      </c>
    </row>
    <row r="28" spans="1:35" s="26" customFormat="1" ht="15" customHeight="1">
      <c r="A28" s="262">
        <f t="shared" si="23"/>
        <v>43</v>
      </c>
      <c r="B28" s="271">
        <f t="shared" si="29"/>
        <v>819.6678892980572</v>
      </c>
      <c r="C28" s="128">
        <f t="shared" si="30"/>
        <v>0.0951762</v>
      </c>
      <c r="D28" s="143">
        <f t="shared" si="31"/>
        <v>6710.034679572838</v>
      </c>
      <c r="E28" s="143">
        <f t="shared" si="32"/>
        <v>16319.869441044471</v>
      </c>
      <c r="F28" s="105">
        <f t="shared" si="0"/>
        <v>92.15031800382529</v>
      </c>
      <c r="G28" s="105">
        <f t="shared" si="1"/>
        <v>101.51602707725111</v>
      </c>
      <c r="H28" s="50">
        <f t="shared" si="2"/>
        <v>3.212755147852816</v>
      </c>
      <c r="I28" s="49">
        <f t="shared" si="3"/>
        <v>12.89822801242848</v>
      </c>
      <c r="J28" s="49">
        <f t="shared" si="24"/>
        <v>0.9835679657452996</v>
      </c>
      <c r="K28" s="49">
        <f t="shared" si="4"/>
        <v>0</v>
      </c>
      <c r="L28" s="49">
        <f t="shared" si="5"/>
        <v>0</v>
      </c>
      <c r="M28" s="49">
        <f t="shared" si="25"/>
        <v>3.3098221992504945E-05</v>
      </c>
      <c r="N28" s="49">
        <f t="shared" si="20"/>
        <v>0.0035619697792094937</v>
      </c>
      <c r="O28" s="49">
        <f t="shared" si="6"/>
        <v>0.3160247372750296</v>
      </c>
      <c r="P28" s="205">
        <f t="shared" si="7"/>
        <v>3.999319797899653</v>
      </c>
      <c r="Q28" s="49">
        <f t="shared" si="8"/>
        <v>0</v>
      </c>
      <c r="R28" s="197">
        <f t="shared" si="9"/>
        <v>0.4207362802396726</v>
      </c>
      <c r="S28" s="53">
        <f t="shared" si="26"/>
        <v>16.851306147575205</v>
      </c>
      <c r="T28" s="49">
        <f t="shared" si="10"/>
        <v>13.89822801242848</v>
      </c>
      <c r="U28" s="49">
        <f t="shared" si="11"/>
        <v>3.9530781351467255</v>
      </c>
      <c r="V28" s="54">
        <f t="shared" si="12"/>
        <v>0.14869385242479538</v>
      </c>
      <c r="W28" s="97">
        <f t="shared" si="13"/>
        <v>-14.318284090567804</v>
      </c>
      <c r="X28" s="25">
        <f t="shared" si="27"/>
        <v>-0.44225116501163875</v>
      </c>
      <c r="Y28" s="23">
        <f t="shared" si="14"/>
        <v>5.387643813659597</v>
      </c>
      <c r="Z28" s="23">
        <f t="shared" si="15"/>
        <v>1.3883240157599444</v>
      </c>
      <c r="AA28" s="205">
        <f>ERF(AH28)+ERF(AI28)-1</f>
        <v>0.43316250559407177</v>
      </c>
      <c r="AB28" s="52">
        <f t="shared" si="16"/>
        <v>17</v>
      </c>
      <c r="AC28" s="136">
        <f t="shared" si="21"/>
        <v>40</v>
      </c>
      <c r="AD28" s="137">
        <f t="shared" si="28"/>
        <v>17.9</v>
      </c>
      <c r="AE28" s="199">
        <f t="shared" si="22"/>
        <v>0</v>
      </c>
      <c r="AF28" s="154">
        <f t="shared" si="17"/>
        <v>0.7941656729077236</v>
      </c>
      <c r="AG28" s="177">
        <f>IF(ABS(AF28)&lt;10,SIGN(AF28)*ERF(ABS(AF28)),SIGN(AF28))</f>
        <v>0.7386132134778763</v>
      </c>
      <c r="AH28" s="193">
        <f t="shared" si="18"/>
        <v>1.010559589231354</v>
      </c>
      <c r="AI28" s="193">
        <f t="shared" si="19"/>
        <v>0.5777717565840931</v>
      </c>
    </row>
    <row r="29" spans="1:35" s="26" customFormat="1" ht="15" customHeight="1">
      <c r="A29" s="262">
        <f t="shared" si="23"/>
        <v>44</v>
      </c>
      <c r="B29" s="271">
        <f t="shared" si="29"/>
        <v>838.7299332352213</v>
      </c>
      <c r="C29" s="128">
        <f t="shared" si="30"/>
        <v>0.09738959999999999</v>
      </c>
      <c r="D29" s="143">
        <f t="shared" si="31"/>
        <v>6557.533891400727</v>
      </c>
      <c r="E29" s="143">
        <f t="shared" si="32"/>
        <v>15948.963317384369</v>
      </c>
      <c r="F29" s="105">
        <f t="shared" si="0"/>
        <v>93.66515755459399</v>
      </c>
      <c r="G29" s="105">
        <f t="shared" si="1"/>
        <v>102.89307258056768</v>
      </c>
      <c r="H29" s="50">
        <f t="shared" si="2"/>
        <v>3.3315197735763844</v>
      </c>
      <c r="I29" s="49">
        <f t="shared" si="3"/>
        <v>13.198186803415187</v>
      </c>
      <c r="J29" s="49">
        <f t="shared" si="24"/>
        <v>1.0064416393672833</v>
      </c>
      <c r="K29" s="49">
        <f t="shared" si="4"/>
        <v>0</v>
      </c>
      <c r="L29" s="49">
        <f t="shared" si="5"/>
        <v>0</v>
      </c>
      <c r="M29" s="49">
        <f t="shared" si="25"/>
        <v>3.265525963731953E-05</v>
      </c>
      <c r="N29" s="49">
        <f t="shared" si="20"/>
        <v>0.0035142603895952198</v>
      </c>
      <c r="O29" s="49">
        <f t="shared" si="6"/>
        <v>0.34066702727295195</v>
      </c>
      <c r="P29" s="205">
        <f t="shared" si="7"/>
        <v>3.999319797899653</v>
      </c>
      <c r="Q29" s="49">
        <f t="shared" si="8"/>
        <v>0</v>
      </c>
      <c r="R29" s="197">
        <f t="shared" si="9"/>
        <v>0.42242008016859467</v>
      </c>
      <c r="S29" s="53">
        <f t="shared" si="26"/>
        <v>17.296307944822715</v>
      </c>
      <c r="T29" s="49">
        <f t="shared" si="10"/>
        <v>14.198186803415187</v>
      </c>
      <c r="U29" s="49">
        <f t="shared" si="11"/>
        <v>4.098121141407528</v>
      </c>
      <c r="V29" s="54">
        <f t="shared" si="12"/>
        <v>-0.29630794482271483</v>
      </c>
      <c r="W29" s="97">
        <f t="shared" si="13"/>
        <v>-14.619926681483435</v>
      </c>
      <c r="X29" s="25">
        <f t="shared" si="27"/>
        <v>-0.44793768441093285</v>
      </c>
      <c r="Y29" s="23">
        <f t="shared" si="14"/>
        <v>5.387643813659597</v>
      </c>
      <c r="Z29" s="23">
        <f t="shared" si="15"/>
        <v>1.3883240157599444</v>
      </c>
      <c r="AA29" s="205">
        <f>ERF(AH29)+ERF(AI29)-1</f>
        <v>0.42131412022165016</v>
      </c>
      <c r="AB29" s="52">
        <f t="shared" si="16"/>
        <v>17</v>
      </c>
      <c r="AC29" s="136">
        <f t="shared" si="21"/>
        <v>40</v>
      </c>
      <c r="AD29" s="137">
        <f t="shared" si="28"/>
        <v>17.9</v>
      </c>
      <c r="AE29" s="199">
        <f t="shared" si="22"/>
        <v>0</v>
      </c>
      <c r="AF29" s="154">
        <f t="shared" si="17"/>
        <v>0.7835371413522134</v>
      </c>
      <c r="AG29" s="177">
        <f>IF(ABS(AF29)&lt;10,SIGN(AF29)*ERF(ABS(AF29)),SIGN(AF29))</f>
        <v>0.7321763754075972</v>
      </c>
      <c r="AH29" s="193">
        <f t="shared" si="18"/>
        <v>0.9970350000312906</v>
      </c>
      <c r="AI29" s="193">
        <f t="shared" si="19"/>
        <v>0.5700392826731362</v>
      </c>
    </row>
    <row r="30" spans="1:35" s="20" customFormat="1" ht="15" customHeight="1">
      <c r="A30" s="261">
        <f t="shared" si="23"/>
        <v>45</v>
      </c>
      <c r="B30" s="270">
        <f t="shared" si="29"/>
        <v>857.7919771723854</v>
      </c>
      <c r="C30" s="127">
        <f t="shared" si="30"/>
        <v>0.099603</v>
      </c>
      <c r="D30" s="142">
        <f t="shared" si="31"/>
        <v>6411.810916036267</v>
      </c>
      <c r="E30" s="142">
        <f t="shared" si="32"/>
        <v>15594.541910331383</v>
      </c>
      <c r="F30" s="104">
        <f t="shared" si="0"/>
        <v>95.18987966356046</v>
      </c>
      <c r="G30" s="104">
        <f t="shared" si="1"/>
        <v>104.2829604283757</v>
      </c>
      <c r="H30" s="98">
        <f t="shared" si="2"/>
        <v>3.4534890538965657</v>
      </c>
      <c r="I30" s="95">
        <f t="shared" si="3"/>
        <v>13.498145594401896</v>
      </c>
      <c r="J30" s="95">
        <f t="shared" si="24"/>
        <v>1.029315312989267</v>
      </c>
      <c r="K30" s="95">
        <f t="shared" si="4"/>
        <v>0</v>
      </c>
      <c r="L30" s="95">
        <f t="shared" si="5"/>
        <v>0</v>
      </c>
      <c r="M30" s="95">
        <f t="shared" si="25"/>
        <v>3.222002891170065E-05</v>
      </c>
      <c r="N30" s="95">
        <f t="shared" si="20"/>
        <v>0.0034673847583132087</v>
      </c>
      <c r="O30" s="95">
        <f t="shared" si="6"/>
        <v>0.3677902599910039</v>
      </c>
      <c r="P30" s="207">
        <f t="shared" si="7"/>
        <v>3.999319797899653</v>
      </c>
      <c r="Q30" s="95">
        <f t="shared" si="8"/>
        <v>0</v>
      </c>
      <c r="R30" s="196">
        <f t="shared" si="9"/>
        <v>0.4242892233492892</v>
      </c>
      <c r="S30" s="96">
        <f t="shared" si="26"/>
        <v>17.74718151639707</v>
      </c>
      <c r="T30" s="95">
        <f t="shared" si="10"/>
        <v>14.498145594401896</v>
      </c>
      <c r="U30" s="95">
        <f t="shared" si="11"/>
        <v>4.2490359219951745</v>
      </c>
      <c r="V30" s="100">
        <f t="shared" si="12"/>
        <v>-0.7471815163970703</v>
      </c>
      <c r="W30" s="101">
        <f t="shared" si="13"/>
        <v>-14.921754615650837</v>
      </c>
      <c r="X30" s="27">
        <f t="shared" si="27"/>
        <v>-0.45402446366258786</v>
      </c>
      <c r="Y30" s="18">
        <f t="shared" si="14"/>
        <v>5.387643813659597</v>
      </c>
      <c r="Z30" s="18">
        <f t="shared" si="15"/>
        <v>1.3883240157599444</v>
      </c>
      <c r="AA30" s="207">
        <f>ERF(AH30)+ERF(AI30)-1</f>
        <v>0.4094700790005614</v>
      </c>
      <c r="AB30" s="99">
        <f t="shared" si="16"/>
        <v>17</v>
      </c>
      <c r="AC30" s="183">
        <f t="shared" si="21"/>
        <v>40</v>
      </c>
      <c r="AD30" s="184">
        <f t="shared" si="28"/>
        <v>17.9</v>
      </c>
      <c r="AE30" s="198">
        <f t="shared" si="22"/>
        <v>0</v>
      </c>
      <c r="AF30" s="153">
        <f t="shared" si="17"/>
        <v>0.7730941241363792</v>
      </c>
      <c r="AG30" s="176">
        <f>IF(ABS(AF30)&lt;10,SIGN(AF30)*ERF(ABS(AF30)),SIGN(AF30))</f>
        <v>0.7257465380810038</v>
      </c>
      <c r="AH30" s="191">
        <f t="shared" si="18"/>
        <v>0.9837464740373</v>
      </c>
      <c r="AI30" s="191">
        <f t="shared" si="19"/>
        <v>0.5624417742354584</v>
      </c>
    </row>
    <row r="31" spans="1:35" s="26" customFormat="1" ht="15" customHeight="1">
      <c r="A31" s="262">
        <f t="shared" si="23"/>
        <v>46</v>
      </c>
      <c r="B31" s="271">
        <f t="shared" si="29"/>
        <v>876.8540211095495</v>
      </c>
      <c r="C31" s="128">
        <f t="shared" si="30"/>
        <v>0.1018164</v>
      </c>
      <c r="D31" s="143">
        <f t="shared" si="31"/>
        <v>6272.4237222093925</v>
      </c>
      <c r="E31" s="143">
        <f t="shared" si="32"/>
        <v>15255.530129672004</v>
      </c>
      <c r="F31" s="105">
        <f t="shared" si="0"/>
        <v>96.72401697672997</v>
      </c>
      <c r="G31" s="105">
        <f t="shared" si="1"/>
        <v>105.68518394485483</v>
      </c>
      <c r="H31" s="50">
        <f t="shared" si="2"/>
        <v>3.5787357690934245</v>
      </c>
      <c r="I31" s="49">
        <f t="shared" si="3"/>
        <v>13.798104385388605</v>
      </c>
      <c r="J31" s="49">
        <f t="shared" si="24"/>
        <v>1.0521889866112508</v>
      </c>
      <c r="K31" s="49">
        <f t="shared" si="4"/>
        <v>0</v>
      </c>
      <c r="L31" s="49">
        <f t="shared" si="5"/>
        <v>0</v>
      </c>
      <c r="M31" s="49">
        <f t="shared" si="25"/>
        <v>3.179253585586041E-05</v>
      </c>
      <c r="N31" s="49">
        <f t="shared" si="20"/>
        <v>0.003421343481919463</v>
      </c>
      <c r="O31" s="49">
        <f t="shared" si="6"/>
        <v>0.39772819414519034</v>
      </c>
      <c r="P31" s="205">
        <f t="shared" si="7"/>
        <v>3.999319797899653</v>
      </c>
      <c r="Q31" s="49">
        <f t="shared" si="8"/>
        <v>0</v>
      </c>
      <c r="R31" s="197">
        <f t="shared" si="9"/>
        <v>0.42636718003875096</v>
      </c>
      <c r="S31" s="53">
        <f t="shared" si="26"/>
        <v>18.20435687214789</v>
      </c>
      <c r="T31" s="49">
        <f t="shared" si="10"/>
        <v>14.798104385388605</v>
      </c>
      <c r="U31" s="49">
        <f t="shared" si="11"/>
        <v>4.406252486759286</v>
      </c>
      <c r="V31" s="54">
        <f t="shared" si="12"/>
        <v>-1.2043568721478906</v>
      </c>
      <c r="W31" s="97">
        <f t="shared" si="13"/>
        <v>-15.22379136332701</v>
      </c>
      <c r="X31" s="25">
        <f t="shared" si="27"/>
        <v>-0.4605778595642924</v>
      </c>
      <c r="Y31" s="23">
        <f t="shared" si="14"/>
        <v>5.387643813659597</v>
      </c>
      <c r="Z31" s="23">
        <f t="shared" si="15"/>
        <v>1.3883240157599444</v>
      </c>
      <c r="AA31" s="205">
        <f>ERF(AH31)+ERF(AI31)-1</f>
        <v>0.39763967034877057</v>
      </c>
      <c r="AB31" s="52">
        <f t="shared" si="16"/>
        <v>17</v>
      </c>
      <c r="AC31" s="136">
        <f t="shared" si="21"/>
        <v>40</v>
      </c>
      <c r="AD31" s="137">
        <f t="shared" si="28"/>
        <v>17.9</v>
      </c>
      <c r="AE31" s="199">
        <f t="shared" si="22"/>
        <v>0</v>
      </c>
      <c r="AF31" s="154">
        <f t="shared" si="17"/>
        <v>0.7628367661903355</v>
      </c>
      <c r="AG31" s="177">
        <f>IF(ABS(AF31)&lt;10,SIGN(AF31)*ERF(ABS(AF31)),SIGN(AF31))</f>
        <v>0.7193291863049636</v>
      </c>
      <c r="AH31" s="193">
        <f t="shared" si="18"/>
        <v>0.9706941956699909</v>
      </c>
      <c r="AI31" s="193">
        <f t="shared" si="19"/>
        <v>0.55497933671068</v>
      </c>
    </row>
    <row r="32" spans="1:35" s="26" customFormat="1" ht="15" customHeight="1">
      <c r="A32" s="262">
        <f t="shared" si="23"/>
        <v>47</v>
      </c>
      <c r="B32" s="271">
        <f t="shared" si="29"/>
        <v>895.9160650467136</v>
      </c>
      <c r="C32" s="128">
        <f t="shared" si="30"/>
        <v>0.10402979999999999</v>
      </c>
      <c r="D32" s="143">
        <f t="shared" si="31"/>
        <v>6138.967898332597</v>
      </c>
      <c r="E32" s="143">
        <f t="shared" si="32"/>
        <v>14930.944382232175</v>
      </c>
      <c r="F32" s="105">
        <f t="shared" si="0"/>
        <v>98.2671285272028</v>
      </c>
      <c r="G32" s="105">
        <f t="shared" si="1"/>
        <v>107.09925860772728</v>
      </c>
      <c r="H32" s="50">
        <f t="shared" si="2"/>
        <v>3.707347387482347</v>
      </c>
      <c r="I32" s="49">
        <f t="shared" si="3"/>
        <v>14.098063176375314</v>
      </c>
      <c r="J32" s="49">
        <f t="shared" si="24"/>
        <v>1.0750626602332343</v>
      </c>
      <c r="K32" s="49">
        <f t="shared" si="4"/>
        <v>0</v>
      </c>
      <c r="L32" s="49">
        <f t="shared" si="5"/>
        <v>0</v>
      </c>
      <c r="M32" s="49">
        <f t="shared" si="25"/>
        <v>3.137276619539152E-05</v>
      </c>
      <c r="N32" s="49">
        <f t="shared" si="20"/>
        <v>0.0033761349700502964</v>
      </c>
      <c r="O32" s="49">
        <f t="shared" si="6"/>
        <v>0.43087543658576133</v>
      </c>
      <c r="P32" s="205">
        <f t="shared" si="7"/>
        <v>3.999319797899653</v>
      </c>
      <c r="Q32" s="49">
        <f t="shared" si="8"/>
        <v>0</v>
      </c>
      <c r="R32" s="197">
        <f t="shared" si="9"/>
        <v>0.4286751001121818</v>
      </c>
      <c r="S32" s="53">
        <f t="shared" si="26"/>
        <v>18.668337235525655</v>
      </c>
      <c r="T32" s="49">
        <f t="shared" si="10"/>
        <v>15.098063176375314</v>
      </c>
      <c r="U32" s="49">
        <f t="shared" si="11"/>
        <v>4.570274059150341</v>
      </c>
      <c r="V32" s="54">
        <f t="shared" si="12"/>
        <v>-1.6683372355256552</v>
      </c>
      <c r="W32" s="97">
        <f t="shared" si="13"/>
        <v>-15.526058074387148</v>
      </c>
      <c r="X32" s="25">
        <f t="shared" si="27"/>
        <v>-0.4676774164035944</v>
      </c>
      <c r="Y32" s="23">
        <f t="shared" si="14"/>
        <v>5.387643813659597</v>
      </c>
      <c r="Z32" s="23">
        <f t="shared" si="15"/>
        <v>1.3883240157599444</v>
      </c>
      <c r="AA32" s="205">
        <f>ERF(AH32)+ERF(AI32)-1</f>
        <v>0.3858315620797863</v>
      </c>
      <c r="AB32" s="52">
        <f t="shared" si="16"/>
        <v>17</v>
      </c>
      <c r="AC32" s="136">
        <f t="shared" si="21"/>
        <v>40</v>
      </c>
      <c r="AD32" s="137">
        <f t="shared" si="28"/>
        <v>17.9</v>
      </c>
      <c r="AE32" s="199">
        <f t="shared" si="22"/>
        <v>0</v>
      </c>
      <c r="AF32" s="154">
        <f t="shared" si="17"/>
        <v>0.7527647250109628</v>
      </c>
      <c r="AG32" s="177">
        <f>IF(ABS(AF32)&lt;10,SIGN(AF32)*ERF(ABS(AF32)),SIGN(AF32))</f>
        <v>0.7129292211731459</v>
      </c>
      <c r="AH32" s="193">
        <f t="shared" si="18"/>
        <v>0.9578777291011434</v>
      </c>
      <c r="AI32" s="193">
        <f t="shared" si="19"/>
        <v>0.5476517209207822</v>
      </c>
    </row>
    <row r="33" spans="1:35" s="26" customFormat="1" ht="15" customHeight="1">
      <c r="A33" s="262">
        <f t="shared" si="23"/>
        <v>48</v>
      </c>
      <c r="B33" s="271">
        <f t="shared" si="29"/>
        <v>914.9781089838777</v>
      </c>
      <c r="C33" s="128">
        <f t="shared" si="30"/>
        <v>0.1062432</v>
      </c>
      <c r="D33" s="143">
        <f t="shared" si="31"/>
        <v>6011.072733784001</v>
      </c>
      <c r="E33" s="143">
        <f t="shared" si="32"/>
        <v>14619.883040935672</v>
      </c>
      <c r="F33" s="105">
        <f t="shared" si="0"/>
        <v>99.81879811420423</v>
      </c>
      <c r="G33" s="105">
        <f t="shared" si="1"/>
        <v>108.52472115747321</v>
      </c>
      <c r="H33" s="50">
        <f t="shared" si="2"/>
        <v>3.839417116734143</v>
      </c>
      <c r="I33" s="49">
        <f t="shared" si="3"/>
        <v>14.398021967362022</v>
      </c>
      <c r="J33" s="49">
        <f t="shared" si="24"/>
        <v>1.0979363338552182</v>
      </c>
      <c r="K33" s="49">
        <f t="shared" si="4"/>
        <v>0</v>
      </c>
      <c r="L33" s="49">
        <f t="shared" si="5"/>
        <v>0</v>
      </c>
      <c r="M33" s="49">
        <f t="shared" si="25"/>
        <v>3.096068770473523E-05</v>
      </c>
      <c r="N33" s="49">
        <f t="shared" si="20"/>
        <v>0.0033317557001813886</v>
      </c>
      <c r="O33" s="49">
        <f t="shared" si="6"/>
        <v>0.46770121438689904</v>
      </c>
      <c r="P33" s="205">
        <f t="shared" si="7"/>
        <v>3.999319797899653</v>
      </c>
      <c r="Q33" s="49">
        <f t="shared" si="8"/>
        <v>0</v>
      </c>
      <c r="R33" s="197">
        <f t="shared" si="9"/>
        <v>0.43123965077183657</v>
      </c>
      <c r="S33" s="53">
        <f t="shared" si="26"/>
        <v>19.13971170495508</v>
      </c>
      <c r="T33" s="49">
        <f t="shared" si="10"/>
        <v>15.398021967362022</v>
      </c>
      <c r="U33" s="49">
        <f t="shared" si="11"/>
        <v>4.741689737593058</v>
      </c>
      <c r="V33" s="54">
        <f t="shared" si="12"/>
        <v>-2.1397117049550793</v>
      </c>
      <c r="W33" s="97">
        <f t="shared" si="13"/>
        <v>-15.828581416033511</v>
      </c>
      <c r="X33" s="25">
        <f t="shared" si="27"/>
        <v>-0.4754196900455785</v>
      </c>
      <c r="Y33" s="23">
        <f t="shared" si="14"/>
        <v>5.387643813659597</v>
      </c>
      <c r="Z33" s="23">
        <f t="shared" si="15"/>
        <v>1.3883240157599444</v>
      </c>
      <c r="AA33" s="205">
        <f>ERF(AH33)+ERF(AI33)-1</f>
        <v>0.374054017187049</v>
      </c>
      <c r="AB33" s="52">
        <f t="shared" si="16"/>
        <v>17</v>
      </c>
      <c r="AC33" s="136">
        <f t="shared" si="21"/>
        <v>40</v>
      </c>
      <c r="AD33" s="137">
        <f t="shared" si="28"/>
        <v>17.9</v>
      </c>
      <c r="AE33" s="199">
        <f t="shared" si="22"/>
        <v>0</v>
      </c>
      <c r="AF33" s="154">
        <f t="shared" si="17"/>
        <v>0.7428772273714536</v>
      </c>
      <c r="AG33" s="177">
        <f>IF(ABS(AF33)&lt;10,SIGN(AF33)*ERF(ABS(AF33)),SIGN(AF33))</f>
        <v>0.7065514711992542</v>
      </c>
      <c r="AH33" s="193">
        <f t="shared" si="18"/>
        <v>0.9452960904154464</v>
      </c>
      <c r="AI33" s="193">
        <f t="shared" si="19"/>
        <v>0.5404583643274607</v>
      </c>
    </row>
    <row r="34" spans="1:35" s="26" customFormat="1" ht="15" customHeight="1">
      <c r="A34" s="262">
        <f t="shared" si="23"/>
        <v>49</v>
      </c>
      <c r="B34" s="271">
        <f t="shared" si="29"/>
        <v>934.0401529210419</v>
      </c>
      <c r="C34" s="128">
        <f t="shared" si="30"/>
        <v>0.1084566</v>
      </c>
      <c r="D34" s="143">
        <f t="shared" si="31"/>
        <v>5888.397780033306</v>
      </c>
      <c r="E34" s="143">
        <f t="shared" si="32"/>
        <v>14321.518080916576</v>
      </c>
      <c r="F34" s="105">
        <f t="shared" si="0"/>
        <v>101.37863277861935</v>
      </c>
      <c r="G34" s="105">
        <f t="shared" si="1"/>
        <v>109.96112872013094</v>
      </c>
      <c r="H34" s="50">
        <f t="shared" si="2"/>
        <v>3.9750540988004595</v>
      </c>
      <c r="I34" s="49">
        <f t="shared" si="3"/>
        <v>14.697980758348733</v>
      </c>
      <c r="J34" s="49">
        <f t="shared" si="24"/>
        <v>1.1208100074772018</v>
      </c>
      <c r="K34" s="49">
        <f t="shared" si="4"/>
        <v>0</v>
      </c>
      <c r="L34" s="49">
        <f t="shared" si="5"/>
        <v>0</v>
      </c>
      <c r="M34" s="49">
        <f>$P$5*10^9*($J$5/G34)*10^($B$8/10)</f>
        <v>3.055625236943274E-05</v>
      </c>
      <c r="N34" s="49">
        <f t="shared" si="20"/>
        <v>0.003288200450673532</v>
      </c>
      <c r="O34" s="49">
        <f t="shared" si="6"/>
        <v>0.5087682327302425</v>
      </c>
      <c r="P34" s="205">
        <f t="shared" si="7"/>
        <v>3.999319797899653</v>
      </c>
      <c r="Q34" s="49">
        <f t="shared" si="8"/>
        <v>0</v>
      </c>
      <c r="R34" s="197">
        <f t="shared" si="9"/>
        <v>0.43408532528670474</v>
      </c>
      <c r="S34" s="53">
        <f t="shared" si="26"/>
        <v>19.619176615616812</v>
      </c>
      <c r="T34" s="49">
        <f t="shared" si="10"/>
        <v>15.697980758348733</v>
      </c>
      <c r="U34" s="49">
        <f t="shared" si="11"/>
        <v>4.92119585726808</v>
      </c>
      <c r="V34" s="54">
        <f t="shared" si="12"/>
        <v>-2.619176615616812</v>
      </c>
      <c r="W34" s="97">
        <f t="shared" si="13"/>
        <v>-16.13138588153509</v>
      </c>
      <c r="X34" s="25">
        <f t="shared" si="27"/>
        <v>-0.48392573600896505</v>
      </c>
      <c r="Y34" s="23">
        <f t="shared" si="14"/>
        <v>5.387643813659597</v>
      </c>
      <c r="Z34" s="23">
        <f t="shared" si="15"/>
        <v>1.3883240157599444</v>
      </c>
      <c r="AA34" s="205">
        <f>ERF(AH34)+ERF(AI34)-1</f>
        <v>0.36231478576381737</v>
      </c>
      <c r="AB34" s="52">
        <f t="shared" si="16"/>
        <v>17</v>
      </c>
      <c r="AC34" s="136">
        <f t="shared" si="21"/>
        <v>40</v>
      </c>
      <c r="AD34" s="137">
        <f t="shared" si="28"/>
        <v>17.9</v>
      </c>
      <c r="AE34" s="199">
        <f t="shared" si="22"/>
        <v>0</v>
      </c>
      <c r="AF34" s="154">
        <f t="shared" si="17"/>
        <v>0.7331731212028233</v>
      </c>
      <c r="AG34" s="177">
        <f>IF(ABS(AF34)&lt;10,SIGN(AF34)*ERF(ABS(AF34)),SIGN(AF34))</f>
        <v>0.7002002403135755</v>
      </c>
      <c r="AH34" s="193">
        <f t="shared" si="18"/>
        <v>0.9329478136286607</v>
      </c>
      <c r="AI34" s="193">
        <f t="shared" si="19"/>
        <v>0.5333984287769858</v>
      </c>
    </row>
    <row r="35" spans="1:35" s="78" customFormat="1" ht="15" customHeight="1">
      <c r="A35" s="263">
        <f t="shared" si="23"/>
        <v>50</v>
      </c>
      <c r="B35" s="272">
        <f>A35*$B$3</f>
        <v>953.102196858206</v>
      </c>
      <c r="C35" s="129">
        <f>A35*$Z$4</f>
        <v>0.11066999999999999</v>
      </c>
      <c r="D35" s="144">
        <f t="shared" si="31"/>
        <v>5770.629824432641</v>
      </c>
      <c r="E35" s="144">
        <f>$E$7/A35</f>
        <v>14035.087719298244</v>
      </c>
      <c r="F35" s="106">
        <f t="shared" si="0"/>
        <v>102.94626137104474</v>
      </c>
      <c r="G35" s="106">
        <f t="shared" si="1"/>
        <v>111.40805794743265</v>
      </c>
      <c r="H35" s="75">
        <f t="shared" si="2"/>
        <v>4.1143805942173985</v>
      </c>
      <c r="I35" s="74">
        <f t="shared" si="3"/>
        <v>14.99793954933544</v>
      </c>
      <c r="J35" s="74">
        <f t="shared" si="24"/>
        <v>1.1436836810991855</v>
      </c>
      <c r="K35" s="74">
        <f t="shared" si="4"/>
        <v>0</v>
      </c>
      <c r="L35" s="74">
        <f t="shared" si="5"/>
        <v>0</v>
      </c>
      <c r="M35" s="74">
        <f>$P$5*10^9*($J$5/G35)*10^($B$8/10)</f>
        <v>3.015939835864834E-05</v>
      </c>
      <c r="N35" s="74">
        <f t="shared" si="20"/>
        <v>0.0032454625133503676</v>
      </c>
      <c r="O35" s="74">
        <f t="shared" si="6"/>
        <v>0.5547576093974594</v>
      </c>
      <c r="P35" s="155">
        <f t="shared" si="7"/>
        <v>3.999319797899653</v>
      </c>
      <c r="Q35" s="74">
        <f t="shared" si="8"/>
        <v>0</v>
      </c>
      <c r="R35" s="195">
        <f t="shared" si="9"/>
        <v>0.43723996150936095</v>
      </c>
      <c r="S35" s="267">
        <f t="shared" si="26"/>
        <v>20.10756317697301</v>
      </c>
      <c r="T35" s="74">
        <f t="shared" si="10"/>
        <v>15.99793954933544</v>
      </c>
      <c r="U35" s="74">
        <f t="shared" si="11"/>
        <v>5.1096236276375695</v>
      </c>
      <c r="V35" s="268">
        <f t="shared" si="12"/>
        <v>-3.1075631769730094</v>
      </c>
      <c r="W35" s="269">
        <f t="shared" si="13"/>
        <v>-16.434499308744453</v>
      </c>
      <c r="X35" s="77"/>
      <c r="Y35" s="74">
        <f t="shared" si="14"/>
        <v>5.387643813659597</v>
      </c>
      <c r="Z35" s="74">
        <f t="shared" si="15"/>
        <v>1.3883240157599444</v>
      </c>
      <c r="AA35" s="155">
        <f>ERF(AH35)+ERF(AI35)-1</f>
        <v>0.3506210164482355</v>
      </c>
      <c r="AB35" s="76">
        <f t="shared" si="16"/>
        <v>17</v>
      </c>
      <c r="AC35" s="186">
        <f t="shared" si="21"/>
        <v>40</v>
      </c>
      <c r="AD35" s="187">
        <f>ROUNDUP(E10,0)-0.1</f>
        <v>17.9</v>
      </c>
      <c r="AE35" s="200">
        <f t="shared" si="22"/>
        <v>0</v>
      </c>
      <c r="AF35" s="155">
        <f t="shared" si="17"/>
        <v>0.7236509229230459</v>
      </c>
      <c r="AG35" s="179">
        <f>IF(ABS(AF35)&lt;10,SIGN(AF35)*ERF(ABS(AF35)),SIGN(AF35))</f>
        <v>0.6938795240504119</v>
      </c>
      <c r="AH35" s="190">
        <f t="shared" si="18"/>
        <v>0.9208310109129767</v>
      </c>
      <c r="AI35" s="190">
        <f t="shared" si="19"/>
        <v>0.5264708349331151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5"/>
      <c r="S36" s="13"/>
      <c r="U36" s="13"/>
      <c r="V36" s="13"/>
      <c r="W36" s="14"/>
      <c r="AB36" s="6"/>
      <c r="AE36" s="201">
        <f>SUM(AE15:AE35)</f>
        <v>1.451933916466917</v>
      </c>
    </row>
    <row r="37" spans="1:24" s="26" customFormat="1" ht="15" customHeight="1">
      <c r="A37" s="79" t="s">
        <v>60</v>
      </c>
      <c r="B37" s="22"/>
      <c r="C37" s="22"/>
      <c r="D37" s="21"/>
      <c r="E37" s="22"/>
      <c r="F37" s="22"/>
      <c r="G37" s="28"/>
      <c r="W37" s="31"/>
      <c r="X37" s="31"/>
    </row>
    <row r="38" spans="1:28" s="26" customFormat="1" ht="15" customHeight="1">
      <c r="A38" s="29" t="s">
        <v>108</v>
      </c>
      <c r="B38" s="22"/>
      <c r="C38" s="22"/>
      <c r="D38" s="21"/>
      <c r="E38" s="22"/>
      <c r="F38" s="22"/>
      <c r="G38" s="28"/>
      <c r="K38" s="23"/>
      <c r="L38" s="22"/>
      <c r="M38" s="23"/>
      <c r="N38" s="23"/>
      <c r="O38" s="23"/>
      <c r="P38" s="23"/>
      <c r="Q38" s="23"/>
      <c r="R38" s="59"/>
      <c r="S38" s="23"/>
      <c r="T38" s="30"/>
      <c r="U38" s="23"/>
      <c r="W38" s="31"/>
      <c r="X38" s="31"/>
      <c r="AB38" s="24"/>
    </row>
    <row r="39" spans="1:28" s="26" customFormat="1" ht="15" customHeight="1">
      <c r="A39" s="141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22"/>
      <c r="M39" s="23"/>
      <c r="N39" s="23"/>
      <c r="O39" s="23"/>
      <c r="P39" s="23"/>
      <c r="Q39" s="23"/>
      <c r="R39" s="59"/>
      <c r="S39" s="23"/>
      <c r="T39" s="30"/>
      <c r="U39" s="23"/>
      <c r="W39" s="31"/>
      <c r="X39" s="31"/>
      <c r="AB39" s="24"/>
    </row>
    <row r="40" spans="1:28" s="26" customFormat="1" ht="15" customHeight="1">
      <c r="A40" s="164"/>
      <c r="B40" s="164" t="s">
        <v>191</v>
      </c>
      <c r="C40" s="22"/>
      <c r="D40" s="21"/>
      <c r="E40" s="22"/>
      <c r="F40" s="22"/>
      <c r="G40" s="28"/>
      <c r="H40" s="23"/>
      <c r="I40" s="23"/>
      <c r="J40" s="23"/>
      <c r="K40" s="23"/>
      <c r="L40" s="22"/>
      <c r="M40" s="23"/>
      <c r="N40" s="23"/>
      <c r="O40" s="23"/>
      <c r="P40" s="23"/>
      <c r="Q40" s="23"/>
      <c r="R40" s="59"/>
      <c r="S40" s="23"/>
      <c r="T40" s="30"/>
      <c r="U40" s="23"/>
      <c r="W40" s="31"/>
      <c r="X40" s="31"/>
      <c r="AB40" s="24"/>
    </row>
    <row r="41" spans="1:28" s="26" customFormat="1" ht="15" customHeight="1">
      <c r="A41" s="164"/>
      <c r="B41" s="208"/>
      <c r="C41" s="22"/>
      <c r="D41" s="21"/>
      <c r="E41" s="22"/>
      <c r="F41" s="22"/>
      <c r="G41" s="28"/>
      <c r="H41" s="23"/>
      <c r="I41" s="23"/>
      <c r="J41" s="23"/>
      <c r="K41" s="23"/>
      <c r="L41" s="22"/>
      <c r="M41" s="23"/>
      <c r="N41" s="23"/>
      <c r="O41" s="23"/>
      <c r="P41" s="23"/>
      <c r="Q41" s="23"/>
      <c r="R41" s="59"/>
      <c r="S41" s="23"/>
      <c r="T41" s="30"/>
      <c r="U41" s="23"/>
      <c r="W41" s="31"/>
      <c r="X41" s="31"/>
      <c r="AB41" s="24"/>
    </row>
    <row r="42" spans="1:28" s="26" customFormat="1" ht="15" customHeight="1">
      <c r="A42" s="164"/>
      <c r="B42" s="208" t="s">
        <v>179</v>
      </c>
      <c r="C42" s="22"/>
      <c r="D42" s="21"/>
      <c r="E42" s="22"/>
      <c r="F42" s="22"/>
      <c r="G42" s="28"/>
      <c r="H42" s="23"/>
      <c r="I42" s="23"/>
      <c r="J42" s="23"/>
      <c r="K42" s="23"/>
      <c r="L42" s="22"/>
      <c r="M42" s="23"/>
      <c r="N42" s="23"/>
      <c r="O42" s="23"/>
      <c r="P42" s="23"/>
      <c r="Q42" s="23"/>
      <c r="R42" s="59"/>
      <c r="S42" s="23"/>
      <c r="T42" s="30"/>
      <c r="U42" s="23"/>
      <c r="W42" s="31"/>
      <c r="X42" s="31"/>
      <c r="AB42" s="24"/>
    </row>
    <row r="43" spans="3:28" s="26" customFormat="1" ht="15" customHeight="1">
      <c r="C43" s="208" t="s">
        <v>176</v>
      </c>
      <c r="D43" s="21"/>
      <c r="E43" s="22"/>
      <c r="F43" s="22"/>
      <c r="G43" s="28"/>
      <c r="H43" s="23"/>
      <c r="I43" s="23"/>
      <c r="J43" s="23"/>
      <c r="K43" s="23"/>
      <c r="L43" s="22"/>
      <c r="M43" s="23"/>
      <c r="N43" s="23"/>
      <c r="O43" s="23"/>
      <c r="P43" s="23"/>
      <c r="Q43" s="23"/>
      <c r="R43" s="59"/>
      <c r="S43" s="23"/>
      <c r="T43" s="30"/>
      <c r="U43" s="23"/>
      <c r="W43" s="31"/>
      <c r="X43" s="31"/>
      <c r="AB43" s="24"/>
    </row>
    <row r="44" spans="4:28" s="26" customFormat="1" ht="15" customHeight="1">
      <c r="D44" s="21"/>
      <c r="E44" s="22"/>
      <c r="F44" s="22"/>
      <c r="G44" s="28"/>
      <c r="H44" s="23"/>
      <c r="I44" s="23"/>
      <c r="J44" s="23"/>
      <c r="K44" s="23"/>
      <c r="L44" s="22"/>
      <c r="M44" s="23"/>
      <c r="N44" s="23"/>
      <c r="O44" s="23"/>
      <c r="P44" s="23"/>
      <c r="Q44" s="23"/>
      <c r="R44" s="59"/>
      <c r="S44" s="23"/>
      <c r="T44" s="30"/>
      <c r="U44" s="23"/>
      <c r="W44" s="31"/>
      <c r="X44" s="31"/>
      <c r="AB44" s="24"/>
    </row>
    <row r="45" spans="2:28" s="26" customFormat="1" ht="15" customHeight="1">
      <c r="B45" s="26" t="s">
        <v>133</v>
      </c>
      <c r="D45" s="21"/>
      <c r="E45" s="22"/>
      <c r="F45" s="22"/>
      <c r="G45" s="28"/>
      <c r="H45" s="23"/>
      <c r="I45" s="23"/>
      <c r="J45" s="23"/>
      <c r="K45" s="23"/>
      <c r="L45" s="22"/>
      <c r="M45" s="23"/>
      <c r="N45" s="23"/>
      <c r="O45" s="23"/>
      <c r="P45" s="23"/>
      <c r="Q45" s="23"/>
      <c r="R45" s="59"/>
      <c r="S45" s="23"/>
      <c r="T45" s="30"/>
      <c r="U45" s="23"/>
      <c r="W45" s="31"/>
      <c r="X45" s="31"/>
      <c r="AB45" s="24"/>
    </row>
    <row r="46" spans="1:28" ht="15" customHeight="1">
      <c r="A46" s="161"/>
      <c r="B46" s="208" t="s">
        <v>135</v>
      </c>
      <c r="C46" s="26"/>
      <c r="D46" s="21"/>
      <c r="E46" s="231">
        <f>J9-E10</f>
        <v>-14</v>
      </c>
      <c r="F46" s="22" t="s">
        <v>177</v>
      </c>
      <c r="G46" s="28"/>
      <c r="H46" s="23">
        <f>J10</f>
        <v>8</v>
      </c>
      <c r="I46" s="23" t="s">
        <v>178</v>
      </c>
      <c r="J46" s="23"/>
      <c r="K46" s="4"/>
      <c r="L46" s="1"/>
      <c r="M46" s="4"/>
      <c r="N46" s="4"/>
      <c r="O46" s="4"/>
      <c r="P46" s="4"/>
      <c r="Q46" s="4"/>
      <c r="R46" s="55"/>
      <c r="S46" s="4"/>
      <c r="U46" s="4"/>
      <c r="AB46" s="6"/>
    </row>
    <row r="47" spans="1:28" ht="15" customHeight="1">
      <c r="A47" s="2"/>
      <c r="B47" s="26" t="s">
        <v>136</v>
      </c>
      <c r="C47" s="1"/>
      <c r="D47" s="232">
        <f>J2*T8+E11</f>
        <v>12.998351639468352</v>
      </c>
      <c r="E47" s="22" t="s">
        <v>137</v>
      </c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5"/>
      <c r="S47" s="4"/>
      <c r="U47" s="4"/>
      <c r="AB47" s="6"/>
    </row>
    <row r="48" spans="1:28" ht="15" customHeight="1">
      <c r="A48" s="2"/>
      <c r="B48" s="22" t="s">
        <v>134</v>
      </c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0"/>
      <c r="S48" s="4"/>
      <c r="U48" s="4"/>
      <c r="AB48" s="6"/>
    </row>
    <row r="49" spans="1:28" ht="15" customHeight="1">
      <c r="A49" s="24"/>
      <c r="B49" s="22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5"/>
      <c r="S49" s="4"/>
      <c r="U49" s="4"/>
      <c r="AB49" s="6"/>
    </row>
    <row r="50" spans="1:16" ht="15" customHeight="1">
      <c r="A50" s="15"/>
      <c r="B50" s="14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4"/>
      <c r="B51" s="14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4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2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V2:W2"/>
  </mergeCells>
  <printOptions horizontalCentered="1"/>
  <pageMargins left="0.5" right="0.5" top="0.5" bottom="0.6" header="0.3" footer="0.4"/>
  <pageSetup fitToHeight="1" fitToWidth="1" horizontalDpi="600" verticalDpi="600" orientation="landscape" scale="70" r:id="rId2"/>
  <headerFooter alignWithMargins="0">
    <oddHeader xml:space="preserve">&amp;CSpreadsheet by Agilent Technologies&amp;R </oddHeader>
    <oddFooter>&amp;L&amp;F tab &amp;A page &amp;P of &amp;N&amp;RPrinted &amp;T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showGridLines="0" showOutlineSymbols="0" zoomScale="70" zoomScaleNormal="70" workbookViewId="0" topLeftCell="A1">
      <selection activeCell="T1" sqref="T1"/>
    </sheetView>
  </sheetViews>
  <sheetFormatPr defaultColWidth="9.140625" defaultRowHeight="12.75"/>
  <cols>
    <col min="1" max="1" width="13.28125" style="5" customWidth="1"/>
    <col min="2" max="2" width="7.7109375" style="5" customWidth="1"/>
    <col min="3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6" customWidth="1"/>
    <col min="19" max="19" width="6.57421875" style="5" customWidth="1"/>
    <col min="20" max="20" width="7.28125" style="7" customWidth="1"/>
    <col min="21" max="21" width="7.421875" style="5" customWidth="1"/>
    <col min="22" max="22" width="7.7109375" style="5" customWidth="1"/>
    <col min="23" max="23" width="11.140625" style="10" customWidth="1"/>
    <col min="24" max="24" width="8.8515625" style="10" customWidth="1"/>
    <col min="25" max="25" width="8.140625" style="5" customWidth="1"/>
    <col min="26" max="26" width="7.57421875" style="5" customWidth="1"/>
    <col min="27" max="27" width="10.00390625" style="157" customWidth="1"/>
    <col min="28" max="28" width="6.00390625" style="5" customWidth="1"/>
    <col min="29" max="29" width="7.140625" style="5" customWidth="1"/>
    <col min="30" max="30" width="7.00390625" style="5" customWidth="1"/>
    <col min="31" max="32" width="10.00390625" style="5" customWidth="1"/>
    <col min="33" max="16384" width="11.140625" style="5" customWidth="1"/>
  </cols>
  <sheetData>
    <row r="1" spans="1:32" s="126" customFormat="1" ht="15">
      <c r="A1" s="123" t="s">
        <v>109</v>
      </c>
      <c r="B1" s="110"/>
      <c r="C1" s="110"/>
      <c r="D1" s="110"/>
      <c r="E1" s="114"/>
      <c r="F1" s="114"/>
      <c r="G1" s="114"/>
      <c r="H1" s="114"/>
      <c r="I1" s="114"/>
      <c r="J1" s="114"/>
      <c r="K1" s="114"/>
      <c r="L1" s="124" t="s">
        <v>66</v>
      </c>
      <c r="M1" s="110" t="s">
        <v>186</v>
      </c>
      <c r="N1" s="114"/>
      <c r="O1" s="131" t="s">
        <v>187</v>
      </c>
      <c r="P1" s="277" t="s">
        <v>1</v>
      </c>
      <c r="Q1" s="276" t="str">
        <f>Notes!G1</f>
        <v>1.0.0</v>
      </c>
      <c r="R1" s="217"/>
      <c r="S1" s="222" t="s">
        <v>130</v>
      </c>
      <c r="T1" s="221" t="str">
        <f>Notes!A1</f>
        <v>10GEPBud2_4_1.xls</v>
      </c>
      <c r="U1" s="217"/>
      <c r="V1" s="214"/>
      <c r="W1" s="241">
        <f>Notes!E1</f>
        <v>36879</v>
      </c>
      <c r="AB1" s="217"/>
      <c r="AC1" s="51"/>
      <c r="AD1" s="51"/>
      <c r="AE1" s="51"/>
      <c r="AF1" s="51"/>
    </row>
    <row r="2" spans="1:32" ht="15.75">
      <c r="A2" s="62" t="s">
        <v>2</v>
      </c>
      <c r="B2" s="118" t="s">
        <v>3</v>
      </c>
      <c r="C2" s="73"/>
      <c r="D2" s="65">
        <f>IF(O1="SMF","PolMD DGDmax","")</f>
      </c>
      <c r="E2" s="238"/>
      <c r="F2" s="73">
        <f>IF(O1="SMF","ps at target "&amp;J2&amp;K2,"")</f>
      </c>
      <c r="G2" s="62"/>
      <c r="H2" s="61"/>
      <c r="I2" s="65" t="s">
        <v>92</v>
      </c>
      <c r="J2" s="130">
        <v>0.3</v>
      </c>
      <c r="K2" s="61" t="s">
        <v>93</v>
      </c>
      <c r="L2" s="61"/>
      <c r="M2" s="73"/>
      <c r="N2" s="61"/>
      <c r="O2" s="62" t="s">
        <v>98</v>
      </c>
      <c r="P2" s="139">
        <f>1000000/$P$6</f>
        <v>88.96969696969697</v>
      </c>
      <c r="Q2" s="61" t="s">
        <v>87</v>
      </c>
      <c r="R2" s="274"/>
      <c r="S2" s="275" t="s">
        <v>232</v>
      </c>
      <c r="T2" s="278" t="str">
        <f>Notes!F16</f>
        <v>2.4.1</v>
      </c>
      <c r="U2" s="279" t="s">
        <v>229</v>
      </c>
      <c r="V2" s="283">
        <f>Notes!D16</f>
        <v>36881</v>
      </c>
      <c r="W2" s="284"/>
      <c r="X2" s="6"/>
      <c r="Y2" s="243" t="s">
        <v>154</v>
      </c>
      <c r="Z2" s="244">
        <f>10^(B6/10)</f>
        <v>1.5797070999185934</v>
      </c>
      <c r="AA2" s="245" t="s">
        <v>153</v>
      </c>
      <c r="AB2" s="66"/>
      <c r="AC2" s="1"/>
      <c r="AD2" s="1"/>
      <c r="AE2" s="1"/>
      <c r="AF2" s="1"/>
    </row>
    <row r="3" spans="1:32" ht="15" customHeight="1">
      <c r="A3" s="62" t="s">
        <v>214</v>
      </c>
      <c r="B3" s="67">
        <f>0.25*$E$4*$B$4*(1-($E$5/$B$4)^4)</f>
        <v>-117.7609329446064</v>
      </c>
      <c r="C3" s="66" t="s">
        <v>213</v>
      </c>
      <c r="D3" s="65" t="s">
        <v>144</v>
      </c>
      <c r="E3" s="145">
        <v>2000</v>
      </c>
      <c r="F3" s="61" t="s">
        <v>143</v>
      </c>
      <c r="G3" s="61"/>
      <c r="H3" s="73"/>
      <c r="I3" s="62" t="s">
        <v>95</v>
      </c>
      <c r="J3" s="117">
        <v>0.2</v>
      </c>
      <c r="K3" s="73" t="s">
        <v>93</v>
      </c>
      <c r="L3" s="61"/>
      <c r="M3" s="73"/>
      <c r="N3" s="61"/>
      <c r="O3" s="62" t="s">
        <v>4</v>
      </c>
      <c r="P3" s="49">
        <f>IF($B$4&gt;1000,$E$6/1.5,$E$6/3.5)</f>
        <v>1</v>
      </c>
      <c r="Q3" s="61"/>
      <c r="R3" s="80"/>
      <c r="S3" s="243" t="s">
        <v>207</v>
      </c>
      <c r="T3" s="244">
        <f>10*LOG10(Z3)</f>
        <v>6.48361779551788</v>
      </c>
      <c r="U3" s="246" t="s">
        <v>155</v>
      </c>
      <c r="V3" s="73"/>
      <c r="W3" s="66"/>
      <c r="X3" s="6"/>
      <c r="Y3" s="243" t="s">
        <v>152</v>
      </c>
      <c r="Z3" s="244">
        <f>(Z2+1)/(Z2-1)</f>
        <v>4.450018121704658</v>
      </c>
      <c r="AA3" s="245" t="s">
        <v>153</v>
      </c>
      <c r="AB3" s="82"/>
      <c r="AD3" s="1"/>
      <c r="AE3" s="251"/>
      <c r="AF3" s="1"/>
    </row>
    <row r="4" spans="1:32" ht="15" customHeight="1">
      <c r="A4" s="62" t="s">
        <v>48</v>
      </c>
      <c r="B4" s="84">
        <v>840</v>
      </c>
      <c r="C4" s="73"/>
      <c r="D4" s="65" t="s">
        <v>7</v>
      </c>
      <c r="E4" s="81">
        <v>0.11</v>
      </c>
      <c r="F4" s="61"/>
      <c r="G4" s="61"/>
      <c r="H4" s="73"/>
      <c r="I4" s="62" t="s">
        <v>96</v>
      </c>
      <c r="J4" s="149">
        <f>10^(INT(LOG10(J3/9)))</f>
        <v>0.01</v>
      </c>
      <c r="K4" s="61" t="s">
        <v>93</v>
      </c>
      <c r="L4" s="61"/>
      <c r="M4" s="61"/>
      <c r="N4" s="61"/>
      <c r="O4" s="62" t="s">
        <v>5</v>
      </c>
      <c r="P4" s="139">
        <f>B7*1.518</f>
        <v>47.817</v>
      </c>
      <c r="Q4" s="73" t="s">
        <v>87</v>
      </c>
      <c r="R4" s="85"/>
      <c r="S4" s="2" t="s">
        <v>208</v>
      </c>
      <c r="T4" s="4">
        <f>10*LOG10((1+10^(-($J$10/10)))/(1-10^(-($J$10/10))))</f>
        <v>1.978027515771426</v>
      </c>
      <c r="U4" s="246" t="s">
        <v>155</v>
      </c>
      <c r="V4" s="73"/>
      <c r="W4" s="66"/>
      <c r="X4" s="6"/>
      <c r="Y4" s="248" t="s">
        <v>31</v>
      </c>
      <c r="Z4" s="5">
        <f>0.7*$E$4*$B$5</f>
        <v>0.026949999999999998</v>
      </c>
      <c r="AA4" s="66" t="s">
        <v>213</v>
      </c>
      <c r="AB4" s="83"/>
      <c r="AD4" s="1"/>
      <c r="AE4" s="251"/>
      <c r="AF4" s="1"/>
    </row>
    <row r="5" spans="1:31" ht="15" customHeight="1">
      <c r="A5" s="62" t="s">
        <v>6</v>
      </c>
      <c r="B5" s="86">
        <v>0.35</v>
      </c>
      <c r="C5" s="73"/>
      <c r="D5" s="65" t="s">
        <v>49</v>
      </c>
      <c r="E5" s="81">
        <v>1320</v>
      </c>
      <c r="F5" s="61"/>
      <c r="G5" s="61"/>
      <c r="H5" s="73"/>
      <c r="I5" s="62" t="s">
        <v>9</v>
      </c>
      <c r="J5" s="87">
        <v>480</v>
      </c>
      <c r="K5" s="61" t="s">
        <v>91</v>
      </c>
      <c r="L5" s="73"/>
      <c r="M5" s="67"/>
      <c r="N5" s="61"/>
      <c r="O5" s="62" t="s">
        <v>8</v>
      </c>
      <c r="P5" s="95">
        <v>0.7</v>
      </c>
      <c r="Q5" s="61"/>
      <c r="R5" s="85"/>
      <c r="S5" s="248" t="s">
        <v>163</v>
      </c>
      <c r="T5" s="249">
        <f>T3-T4</f>
        <v>4.505590279746453</v>
      </c>
      <c r="U5" s="246" t="s">
        <v>155</v>
      </c>
      <c r="V5" s="73"/>
      <c r="W5" s="66"/>
      <c r="X5" s="6"/>
      <c r="AB5" s="83"/>
      <c r="AC5" s="1"/>
      <c r="AE5" s="252"/>
    </row>
    <row r="6" spans="1:32" ht="15" customHeight="1">
      <c r="A6" s="62" t="s">
        <v>223</v>
      </c>
      <c r="B6" s="70">
        <f>10*LOG10((2*AE7+K9)/(2*AE7-K9))</f>
        <v>1.985765700676064</v>
      </c>
      <c r="C6" s="73" t="s">
        <v>54</v>
      </c>
      <c r="D6" s="65" t="s">
        <v>83</v>
      </c>
      <c r="E6" s="81">
        <v>3.5</v>
      </c>
      <c r="F6" s="61" t="str">
        <f>"dB/km at "&amp;IF(B4&lt;1000,850,1300)&amp;" nm"</f>
        <v>dB/km at 850 nm</v>
      </c>
      <c r="G6" s="61"/>
      <c r="H6" s="73"/>
      <c r="I6" s="62" t="s">
        <v>12</v>
      </c>
      <c r="J6" s="86">
        <v>7.037</v>
      </c>
      <c r="K6" s="61"/>
      <c r="L6" s="61"/>
      <c r="M6" s="67"/>
      <c r="N6" s="61"/>
      <c r="O6" s="65" t="s">
        <v>10</v>
      </c>
      <c r="P6" s="88">
        <f>(P7)</f>
        <v>11239.782016348774</v>
      </c>
      <c r="Q6" s="66"/>
      <c r="R6" s="83"/>
      <c r="S6" s="62" t="s">
        <v>204</v>
      </c>
      <c r="T6" s="51">
        <f>$E$10-$E$11</f>
        <v>6</v>
      </c>
      <c r="U6" s="233" t="s">
        <v>54</v>
      </c>
      <c r="V6" s="73"/>
      <c r="W6" s="66"/>
      <c r="Y6" s="166" t="s">
        <v>114</v>
      </c>
      <c r="Z6" s="167">
        <f>$Z$8*$P$2/(SQRT(8)*$T$9)</f>
        <v>2.0216397800196706</v>
      </c>
      <c r="AA6" s="168" t="s">
        <v>67</v>
      </c>
      <c r="AB6" s="61"/>
      <c r="AC6" s="1"/>
      <c r="AD6" s="1"/>
      <c r="AE6" s="251"/>
      <c r="AF6" s="1"/>
    </row>
    <row r="7" spans="1:32" ht="15" customHeight="1">
      <c r="A7" s="62" t="s">
        <v>11</v>
      </c>
      <c r="B7" s="81">
        <v>31.5</v>
      </c>
      <c r="C7" s="73" t="s">
        <v>87</v>
      </c>
      <c r="D7" s="65" t="s">
        <v>145</v>
      </c>
      <c r="E7" s="239">
        <f>IF(O1="SMF",1000000*J2/(3*E2),E3)</f>
        <v>2000</v>
      </c>
      <c r="F7" s="61" t="s">
        <v>143</v>
      </c>
      <c r="G7" s="67"/>
      <c r="H7" s="67"/>
      <c r="I7" s="65" t="s">
        <v>88</v>
      </c>
      <c r="J7" s="147">
        <f>2.5*10^5/$E$8</f>
        <v>24.242424242424242</v>
      </c>
      <c r="K7" s="67" t="s">
        <v>87</v>
      </c>
      <c r="L7" s="61"/>
      <c r="M7" s="67"/>
      <c r="N7" s="61"/>
      <c r="O7" s="65" t="s">
        <v>13</v>
      </c>
      <c r="P7" s="89">
        <f>1/((1/$E$8)-$J$8*10^-6)</f>
        <v>11239.782016348774</v>
      </c>
      <c r="Q7" s="66"/>
      <c r="R7" s="83"/>
      <c r="S7" s="91" t="s">
        <v>28</v>
      </c>
      <c r="T7" s="115">
        <f>AE36</f>
        <v>0.05986887636784122</v>
      </c>
      <c r="U7" s="92" t="str">
        <f>"dB at target "&amp;J2&amp;" km"</f>
        <v>dB at target 0.3 km</v>
      </c>
      <c r="V7" s="73"/>
      <c r="W7" s="119"/>
      <c r="Y7" s="166" t="s">
        <v>115</v>
      </c>
      <c r="Z7" s="169">
        <f>IF(ABS($Z$6)&lt;10,SIGN($Z$6)*ERF(ABS($Z$6)),SIGN($Z$6))</f>
        <v>0.9957506191313157</v>
      </c>
      <c r="AA7" s="168" t="s">
        <v>67</v>
      </c>
      <c r="AB7" s="61"/>
      <c r="AC7" s="1"/>
      <c r="AD7" s="2" t="s">
        <v>166</v>
      </c>
      <c r="AE7" s="253">
        <f>1000*10^(J9/10)</f>
        <v>794.3282347242815</v>
      </c>
      <c r="AF7" s="1" t="s">
        <v>165</v>
      </c>
    </row>
    <row r="8" spans="1:32" ht="15" customHeight="1">
      <c r="A8" s="248" t="s">
        <v>224</v>
      </c>
      <c r="B8" s="81">
        <v>-125</v>
      </c>
      <c r="C8" s="102" t="s">
        <v>74</v>
      </c>
      <c r="D8" s="62" t="s">
        <v>84</v>
      </c>
      <c r="E8" s="148">
        <v>10312.5</v>
      </c>
      <c r="F8" s="73" t="s">
        <v>89</v>
      </c>
      <c r="G8" s="67"/>
      <c r="H8" s="61"/>
      <c r="I8" s="65" t="s">
        <v>15</v>
      </c>
      <c r="J8" s="81">
        <v>8</v>
      </c>
      <c r="K8" s="61"/>
      <c r="L8" s="61"/>
      <c r="M8" s="61"/>
      <c r="N8" s="61"/>
      <c r="O8" s="62" t="s">
        <v>14</v>
      </c>
      <c r="P8" s="63">
        <f>(10^-6)*$J$7*$P$7</f>
        <v>0.2724795640326975</v>
      </c>
      <c r="Q8" s="66"/>
      <c r="R8" s="83"/>
      <c r="S8" s="65" t="s">
        <v>100</v>
      </c>
      <c r="T8" s="51">
        <f>$P$3*((1/(0.00094*$B$4)^4)+1.05)</f>
        <v>3.622595119239568</v>
      </c>
      <c r="U8" s="61" t="str">
        <f>"dB/km at "&amp;B4&amp;" nm"</f>
        <v>dB/km at 840 nm</v>
      </c>
      <c r="V8" s="73"/>
      <c r="W8" s="66"/>
      <c r="Y8" s="166" t="s">
        <v>116</v>
      </c>
      <c r="Z8" s="170">
        <v>2.563</v>
      </c>
      <c r="AA8" s="168" t="s">
        <v>67</v>
      </c>
      <c r="AB8" s="61"/>
      <c r="AC8" s="1"/>
      <c r="AD8" s="1"/>
      <c r="AE8" s="1"/>
      <c r="AF8" s="1"/>
    </row>
    <row r="9" spans="1:32" ht="15" customHeight="1">
      <c r="A9" s="62" t="s">
        <v>225</v>
      </c>
      <c r="B9" s="247">
        <f>B8-2*T3</f>
        <v>-137.96723559103577</v>
      </c>
      <c r="C9" s="102" t="s">
        <v>74</v>
      </c>
      <c r="D9" s="65" t="s">
        <v>85</v>
      </c>
      <c r="E9" s="145">
        <v>8250</v>
      </c>
      <c r="F9" s="73" t="s">
        <v>90</v>
      </c>
      <c r="G9" s="73"/>
      <c r="H9" s="61"/>
      <c r="I9" s="258" t="s">
        <v>233</v>
      </c>
      <c r="J9" s="122">
        <v>-1</v>
      </c>
      <c r="K9" s="250">
        <v>357</v>
      </c>
      <c r="L9" s="92" t="s">
        <v>164</v>
      </c>
      <c r="M9" s="67"/>
      <c r="N9" s="61"/>
      <c r="O9" s="62" t="s">
        <v>16</v>
      </c>
      <c r="P9" s="90">
        <f>(P8)</f>
        <v>0.2724795640326975</v>
      </c>
      <c r="Q9" s="66"/>
      <c r="R9" s="83"/>
      <c r="S9" s="91" t="s">
        <v>64</v>
      </c>
      <c r="T9" s="138">
        <f>T10*1000/$E$9</f>
        <v>39.878787878787875</v>
      </c>
      <c r="U9" s="92" t="s">
        <v>87</v>
      </c>
      <c r="V9" s="32"/>
      <c r="W9" s="41"/>
      <c r="Y9" s="171" t="s">
        <v>86</v>
      </c>
      <c r="Z9" s="193">
        <f>ERF(MAX(MIN($Z$8*$P$2*($P$9+1)/(SQRT(8)*$T$9),10),-10))+ERF(MAX(MIN($Z$8*$P$2*(1-$P$9)/(SQRT(8)*$T$9),10),-10))-1</f>
        <v>0.9622000369540826</v>
      </c>
      <c r="AA9" s="172" t="s">
        <v>67</v>
      </c>
      <c r="AB9" s="61"/>
      <c r="AC9" s="1"/>
      <c r="AD9" s="1"/>
      <c r="AE9" s="1"/>
      <c r="AF9" s="1"/>
    </row>
    <row r="10" spans="1:32" ht="15" customHeight="1">
      <c r="A10" s="273" t="s">
        <v>226</v>
      </c>
      <c r="B10" s="81">
        <v>0.5</v>
      </c>
      <c r="C10" s="73"/>
      <c r="D10" s="65" t="s">
        <v>58</v>
      </c>
      <c r="E10" s="81">
        <v>7.5</v>
      </c>
      <c r="F10" s="73"/>
      <c r="G10" s="62"/>
      <c r="H10" s="61"/>
      <c r="I10" s="62" t="s">
        <v>21</v>
      </c>
      <c r="J10" s="116">
        <v>6.5</v>
      </c>
      <c r="K10" s="61"/>
      <c r="L10" s="61"/>
      <c r="M10" s="67"/>
      <c r="N10" s="61"/>
      <c r="O10" s="62" t="s">
        <v>18</v>
      </c>
      <c r="P10" s="49">
        <f>S35-$T$6</f>
        <v>10.001424028031316</v>
      </c>
      <c r="Q10" s="67" t="s">
        <v>19</v>
      </c>
      <c r="R10" s="83"/>
      <c r="S10" s="202" t="s">
        <v>141</v>
      </c>
      <c r="T10" s="234">
        <v>329</v>
      </c>
      <c r="U10" s="235" t="s">
        <v>91</v>
      </c>
      <c r="V10" s="73"/>
      <c r="W10" s="103" t="s">
        <v>20</v>
      </c>
      <c r="X10" s="66"/>
      <c r="Y10" s="12" t="s">
        <v>29</v>
      </c>
      <c r="Z10" s="12" t="s">
        <v>24</v>
      </c>
      <c r="AA10" s="150"/>
      <c r="AB10" s="61"/>
      <c r="AC10" s="1"/>
      <c r="AD10" s="1"/>
      <c r="AE10" s="1"/>
      <c r="AF10" s="1"/>
    </row>
    <row r="11" spans="1:32" ht="15" customHeight="1">
      <c r="A11" s="34" t="s">
        <v>17</v>
      </c>
      <c r="B11" s="240">
        <v>0.3</v>
      </c>
      <c r="C11" s="32"/>
      <c r="D11" s="45" t="s">
        <v>59</v>
      </c>
      <c r="E11" s="240">
        <v>1.5</v>
      </c>
      <c r="F11" s="32"/>
      <c r="G11" s="33"/>
      <c r="H11" s="33"/>
      <c r="I11" s="34" t="s">
        <v>65</v>
      </c>
      <c r="J11" s="35">
        <v>0.025</v>
      </c>
      <c r="K11" s="36" t="s">
        <v>57</v>
      </c>
      <c r="L11" s="37"/>
      <c r="M11" s="37"/>
      <c r="N11" s="33"/>
      <c r="O11" s="38" t="s">
        <v>53</v>
      </c>
      <c r="P11" s="39">
        <f>10*LOG10(1/SQRT(1-($J$6*J11)^2))</f>
        <v>0.0682681868313477</v>
      </c>
      <c r="Q11" s="36" t="s">
        <v>54</v>
      </c>
      <c r="R11" s="57"/>
      <c r="S11" s="38" t="s">
        <v>52</v>
      </c>
      <c r="T11" s="40">
        <f>10*LOG10(1/SQRT(1-($J$6*$J$11/$Z$9)^2))</f>
        <v>0.07383136780525705</v>
      </c>
      <c r="U11" s="236" t="s">
        <v>54</v>
      </c>
      <c r="V11" s="73"/>
      <c r="W11" s="93" t="s">
        <v>22</v>
      </c>
      <c r="X11" s="6" t="s">
        <v>23</v>
      </c>
      <c r="Y11" s="10" t="s">
        <v>77</v>
      </c>
      <c r="Z11" s="6" t="s">
        <v>30</v>
      </c>
      <c r="AA11" s="151" t="s">
        <v>68</v>
      </c>
      <c r="AB11" s="61"/>
      <c r="AC11" s="1"/>
      <c r="AD11" s="1"/>
      <c r="AE11" s="1"/>
      <c r="AF11" s="1"/>
    </row>
    <row r="12" spans="1:35" ht="15" customHeight="1">
      <c r="A12" s="242" t="s">
        <v>76</v>
      </c>
      <c r="B12" s="66" t="s">
        <v>215</v>
      </c>
      <c r="C12" s="66" t="s">
        <v>216</v>
      </c>
      <c r="D12" s="72" t="s">
        <v>70</v>
      </c>
      <c r="E12" s="72" t="s">
        <v>146</v>
      </c>
      <c r="F12" s="73" t="s">
        <v>71</v>
      </c>
      <c r="G12" s="73" t="s">
        <v>72</v>
      </c>
      <c r="H12" s="64" t="s">
        <v>32</v>
      </c>
      <c r="I12" s="65" t="s">
        <v>33</v>
      </c>
      <c r="J12" s="66" t="s">
        <v>34</v>
      </c>
      <c r="K12" s="67" t="s">
        <v>35</v>
      </c>
      <c r="L12" s="65" t="s">
        <v>36</v>
      </c>
      <c r="M12" s="65" t="s">
        <v>37</v>
      </c>
      <c r="N12" s="65" t="s">
        <v>38</v>
      </c>
      <c r="O12" s="68" t="s">
        <v>69</v>
      </c>
      <c r="P12" s="256" t="s">
        <v>175</v>
      </c>
      <c r="Q12" s="65" t="s">
        <v>39</v>
      </c>
      <c r="R12" s="69" t="s">
        <v>40</v>
      </c>
      <c r="S12" s="70" t="s">
        <v>42</v>
      </c>
      <c r="T12" s="68" t="s">
        <v>43</v>
      </c>
      <c r="U12" s="67" t="s">
        <v>44</v>
      </c>
      <c r="V12" s="71" t="s">
        <v>28</v>
      </c>
      <c r="W12" s="230" t="s">
        <v>27</v>
      </c>
      <c r="X12" s="6" t="s">
        <v>28</v>
      </c>
      <c r="Y12" s="5" t="s">
        <v>157</v>
      </c>
      <c r="Z12" s="5" t="s">
        <v>158</v>
      </c>
      <c r="AA12" s="151" t="s">
        <v>56</v>
      </c>
      <c r="AB12" s="66" t="s">
        <v>41</v>
      </c>
      <c r="AC12" s="156" t="s">
        <v>123</v>
      </c>
      <c r="AD12" s="1"/>
      <c r="AE12" s="146" t="s">
        <v>101</v>
      </c>
      <c r="AF12" s="173" t="s">
        <v>117</v>
      </c>
      <c r="AG12" s="180" t="s">
        <v>118</v>
      </c>
      <c r="AH12" s="157" t="s">
        <v>119</v>
      </c>
      <c r="AI12" s="157" t="s">
        <v>120</v>
      </c>
    </row>
    <row r="13" spans="1:35" s="33" customFormat="1" ht="15" customHeight="1">
      <c r="A13" s="120" t="s">
        <v>75</v>
      </c>
      <c r="B13" s="42" t="s">
        <v>217</v>
      </c>
      <c r="C13" s="42" t="s">
        <v>217</v>
      </c>
      <c r="D13" s="43" t="s">
        <v>73</v>
      </c>
      <c r="E13" s="43" t="s">
        <v>73</v>
      </c>
      <c r="F13" s="32" t="s">
        <v>97</v>
      </c>
      <c r="G13" s="32" t="s">
        <v>97</v>
      </c>
      <c r="H13" s="44" t="s">
        <v>25</v>
      </c>
      <c r="I13" s="45" t="s">
        <v>25</v>
      </c>
      <c r="J13" s="32"/>
      <c r="K13" s="46"/>
      <c r="L13" s="45" t="s">
        <v>25</v>
      </c>
      <c r="M13" s="45"/>
      <c r="N13" s="45" t="s">
        <v>25</v>
      </c>
      <c r="O13" s="45" t="s">
        <v>25</v>
      </c>
      <c r="P13" s="257" t="s">
        <v>25</v>
      </c>
      <c r="Q13" s="45" t="s">
        <v>25</v>
      </c>
      <c r="R13" s="58" t="s">
        <v>25</v>
      </c>
      <c r="S13" s="46" t="s">
        <v>25</v>
      </c>
      <c r="T13" s="47" t="s">
        <v>25</v>
      </c>
      <c r="U13" s="47" t="s">
        <v>26</v>
      </c>
      <c r="V13" s="48" t="s">
        <v>25</v>
      </c>
      <c r="W13" s="94" t="s">
        <v>45</v>
      </c>
      <c r="X13" s="42" t="s">
        <v>46</v>
      </c>
      <c r="Y13" s="42" t="s">
        <v>25</v>
      </c>
      <c r="Z13" s="42" t="s">
        <v>25</v>
      </c>
      <c r="AA13" s="152" t="s">
        <v>55</v>
      </c>
      <c r="AB13" s="42" t="s">
        <v>25</v>
      </c>
      <c r="AC13" s="132" t="s">
        <v>122</v>
      </c>
      <c r="AD13" s="133" t="s">
        <v>94</v>
      </c>
      <c r="AE13" s="133" t="s">
        <v>121</v>
      </c>
      <c r="AF13" s="174" t="s">
        <v>55</v>
      </c>
      <c r="AG13" s="181" t="s">
        <v>55</v>
      </c>
      <c r="AH13" s="181" t="s">
        <v>55</v>
      </c>
      <c r="AI13" s="181" t="s">
        <v>55</v>
      </c>
    </row>
    <row r="14" spans="1:35" s="114" customFormat="1" ht="15" customHeight="1">
      <c r="A14" s="121">
        <v>0.002</v>
      </c>
      <c r="B14" s="107">
        <f>A14*$B$3</f>
        <v>-0.23552186588921278</v>
      </c>
      <c r="C14" s="125">
        <f>A14*$Z$4</f>
        <v>5.3899999999999996E-05</v>
      </c>
      <c r="D14" s="108">
        <f>(0.187/$B$5)*10^6/(SQRT(B14^2+C14^2))</f>
        <v>2268518.45911292</v>
      </c>
      <c r="E14" s="108">
        <f aca="true" t="shared" si="0" ref="E14:E35">$E$7/A14</f>
        <v>1000000</v>
      </c>
      <c r="F14" s="140">
        <f aca="true" t="shared" si="1" ref="F14:F35">SQRT((1000*$J$5/D14)^2+(1000*$J$5/E14)^2+$P$4^2)</f>
        <v>47.81987724898212</v>
      </c>
      <c r="G14" s="140">
        <f aca="true" t="shared" si="2" ref="G14:G35">SQRT(F14^2+$T$9^2)</f>
        <v>62.26602912334362</v>
      </c>
      <c r="H14" s="109">
        <f aca="true" t="shared" si="3" ref="H14:H35">-10*LOG10(2*AG14-1)</f>
        <v>0.6256959290750292</v>
      </c>
      <c r="I14" s="107">
        <f aca="true" t="shared" si="4" ref="I14:I35">A14*$P$3*((1/(0.00094*$B$4)^4)+1.05)</f>
        <v>0.007245190238479136</v>
      </c>
      <c r="J14" s="110">
        <f>(10^-6)*3.14*$P$6*B14*$B$5</f>
        <v>-0.002909288661513651</v>
      </c>
      <c r="K14" s="107">
        <f aca="true" t="shared" si="5" ref="K14:K35">($B$10/SQRT(2))*(1-EXP(-1*J14^2))</f>
        <v>2.9924492742719032E-06</v>
      </c>
      <c r="L14" s="107">
        <f aca="true" t="shared" si="6" ref="L14:L35">10*LOG10(1/SQRT(1-($J$6*K14)^2))</f>
        <v>9.629041191059083E-10</v>
      </c>
      <c r="M14" s="107"/>
      <c r="N14" s="107"/>
      <c r="O14" s="107">
        <f aca="true" t="shared" si="7" ref="O14:O35">10*LOG10(1/SQRT(1-($J$6*$J$6*((($J$11/AA14)^2)+M14+(K14*K14)))))-$T$11-L14-N14</f>
        <v>0.03452720404838576</v>
      </c>
      <c r="P14" s="175">
        <f aca="true" t="shared" si="8" ref="P14:P35">Y14-Z14</f>
        <v>4.505590279746455</v>
      </c>
      <c r="Q14" s="107">
        <f aca="true" t="shared" si="9" ref="Q14:Q35">$B$11</f>
        <v>0.3</v>
      </c>
      <c r="R14" s="203">
        <f aca="true" t="shared" si="10" ref="R14:R35">-10*LOG10(AA14)-H14</f>
        <v>0.35761926645832487</v>
      </c>
      <c r="S14" s="255">
        <f aca="true" t="shared" si="11" ref="S14:S35">H14+I14+L14+N14+O14+Q14+R14</f>
        <v>1.325087590783123</v>
      </c>
      <c r="T14" s="107">
        <f aca="true" t="shared" si="12" ref="T14:T35">$E$11+I14</f>
        <v>1.5072451902384791</v>
      </c>
      <c r="U14" s="107">
        <f aca="true" t="shared" si="13" ref="U14:U35">S14-I14</f>
        <v>1.3178424005446439</v>
      </c>
      <c r="V14" s="112">
        <f aca="true" t="shared" si="14" ref="V14:V35">$T$6-S14</f>
        <v>4.674912409216877</v>
      </c>
      <c r="W14" s="113">
        <f aca="true" t="shared" si="15" ref="W14:W35">$J$9-T14-R14-$T$5</f>
        <v>-7.370454736443257</v>
      </c>
      <c r="X14" s="111"/>
      <c r="Y14" s="107">
        <f aca="true" t="shared" si="16" ref="Y14:Y35">10*LOG10((1+10^(-($B$6/10)))/(1-10^(-($B$6/10))))</f>
        <v>6.483617795517881</v>
      </c>
      <c r="Z14" s="107">
        <f aca="true" t="shared" si="17" ref="Z14:Z35">10*LOG10((1+10^(-($J$10/10)))/(1-10^(-($J$10/10))))</f>
        <v>1.978027515771426</v>
      </c>
      <c r="AA14" s="175">
        <f>ERF(AH14)+ERF(AI14)-1</f>
        <v>0.7973857688812842</v>
      </c>
      <c r="AB14" s="111">
        <f aca="true" t="shared" si="18" ref="AB14:AB35">$E$10-$E$11</f>
        <v>6</v>
      </c>
      <c r="AC14" s="134"/>
      <c r="AD14" s="135"/>
      <c r="AE14" s="110"/>
      <c r="AF14" s="178">
        <f aca="true" t="shared" si="19" ref="AF14:AF35">$Z$8*$P$2/(SQRT(8)*G14)</f>
        <v>1.294775740316144</v>
      </c>
      <c r="AG14" s="182">
        <f>IF(ABS(AF14)&lt;10,SIGN(AF14)*ERF(ABS(AF14)),SIGN(AF14))</f>
        <v>0.9329127846221983</v>
      </c>
      <c r="AH14" s="188">
        <f aca="true" t="shared" si="20" ref="AH14:AH35">MAX(MIN($Z$8*$P$2*($P$9+1)/(SQRT(8)*G14),10),-10)</f>
        <v>1.6475756695576</v>
      </c>
      <c r="AI14" s="189">
        <f aca="true" t="shared" si="21" ref="AI14:AI35">MAX(MIN($Z$8*$P$2*(1-$P$9)/(SQRT(8)*G14),10),-10)</f>
        <v>0.9419758110746878</v>
      </c>
    </row>
    <row r="15" spans="1:35" s="20" customFormat="1" ht="15" customHeight="1">
      <c r="A15" s="261">
        <f>$J$3</f>
        <v>0.2</v>
      </c>
      <c r="B15" s="270">
        <f>A15*$B$3</f>
        <v>-23.55218658892128</v>
      </c>
      <c r="C15" s="127">
        <f>A15*$Z$4</f>
        <v>0.00539</v>
      </c>
      <c r="D15" s="142">
        <f>(0.187/$B$5)*10^6/(SQRT(B15^2+C15^2))</f>
        <v>22685.184591129197</v>
      </c>
      <c r="E15" s="142">
        <f t="shared" si="0"/>
        <v>10000</v>
      </c>
      <c r="F15" s="104">
        <f t="shared" si="1"/>
        <v>70.98011387829689</v>
      </c>
      <c r="G15" s="165">
        <f t="shared" si="2"/>
        <v>81.41556539665713</v>
      </c>
      <c r="H15" s="98">
        <f t="shared" si="3"/>
        <v>1.6927343495671776</v>
      </c>
      <c r="I15" s="95">
        <f t="shared" si="4"/>
        <v>0.7245190238479137</v>
      </c>
      <c r="J15" s="95">
        <f>(10^-6)*3.14*$P$6*B15*$B$5</f>
        <v>-0.29092886615136515</v>
      </c>
      <c r="K15" s="95">
        <f t="shared" si="5"/>
        <v>0.028693201300268926</v>
      </c>
      <c r="L15" s="95">
        <f t="shared" si="6"/>
        <v>0.09038462061135691</v>
      </c>
      <c r="M15" s="95">
        <f aca="true" t="shared" si="22" ref="M15:M35">$P$5*10^9*($J$5/G15)*10^($B$8/10)</f>
        <v>0.0013050640729938361</v>
      </c>
      <c r="N15" s="95">
        <f aca="true" t="shared" si="23" ref="N15:N35">10*LOG10(1/SQRT(1-($J$6^2)*M15))</f>
        <v>0.1450734128752999</v>
      </c>
      <c r="O15" s="95">
        <f t="shared" si="7"/>
        <v>0.13946876256915225</v>
      </c>
      <c r="P15" s="207">
        <f t="shared" si="8"/>
        <v>4.505590279746455</v>
      </c>
      <c r="Q15" s="95">
        <f t="shared" si="9"/>
        <v>0.3</v>
      </c>
      <c r="R15" s="194">
        <f t="shared" si="10"/>
        <v>0.40469030748616897</v>
      </c>
      <c r="S15" s="96">
        <f t="shared" si="11"/>
        <v>3.496870476957069</v>
      </c>
      <c r="T15" s="95">
        <f t="shared" si="12"/>
        <v>2.224519023847914</v>
      </c>
      <c r="U15" s="95">
        <f t="shared" si="13"/>
        <v>2.772351453109155</v>
      </c>
      <c r="V15" s="100">
        <f t="shared" si="14"/>
        <v>2.503129523042931</v>
      </c>
      <c r="W15" s="254">
        <f t="shared" si="15"/>
        <v>-8.134799611080537</v>
      </c>
      <c r="X15" s="19"/>
      <c r="Y15" s="18">
        <f t="shared" si="16"/>
        <v>6.483617795517881</v>
      </c>
      <c r="Z15" s="18">
        <f t="shared" si="17"/>
        <v>1.978027515771426</v>
      </c>
      <c r="AA15" s="206">
        <f>ERF(AH15)+ERF(AI15)-1</f>
        <v>0.6169607478171093</v>
      </c>
      <c r="AB15" s="99">
        <f t="shared" si="18"/>
        <v>6</v>
      </c>
      <c r="AC15" s="183">
        <f aca="true" t="shared" si="24" ref="AC15:AC35">$J$2</f>
        <v>0.3</v>
      </c>
      <c r="AD15" s="185">
        <v>0</v>
      </c>
      <c r="AE15" s="198">
        <f aca="true" t="shared" si="25" ref="AE15:AE35">IF(A15=$J$2,V15,0)</f>
        <v>0</v>
      </c>
      <c r="AF15" s="153">
        <f t="shared" si="19"/>
        <v>0.9902350190892864</v>
      </c>
      <c r="AG15" s="176">
        <f>IF(ABS(AF15)&lt;10,SIGN(AF15)*ERF(ABS(AF15)),SIGN(AF15))</f>
        <v>0.8386074969415942</v>
      </c>
      <c r="AH15" s="191">
        <f t="shared" si="20"/>
        <v>1.260053825380645</v>
      </c>
      <c r="AI15" s="192">
        <f t="shared" si="21"/>
        <v>0.7204162127979276</v>
      </c>
    </row>
    <row r="16" spans="1:35" s="26" customFormat="1" ht="15" customHeight="1">
      <c r="A16" s="262">
        <f aca="true" t="shared" si="26" ref="A16:A35">A15+$J$4</f>
        <v>0.21000000000000002</v>
      </c>
      <c r="B16" s="271">
        <f>A16*$B$3</f>
        <v>-24.729795918367344</v>
      </c>
      <c r="C16" s="128">
        <f>A16*$Z$4</f>
        <v>0.0056595000000000005</v>
      </c>
      <c r="D16" s="143">
        <f>(0.187/$B$5)*10^6/(SQRT(B16^2+C16^2))</f>
        <v>21604.937705837332</v>
      </c>
      <c r="E16" s="143">
        <f t="shared" si="0"/>
        <v>9523.809523809523</v>
      </c>
      <c r="F16" s="105">
        <f t="shared" si="1"/>
        <v>72.93988587588093</v>
      </c>
      <c r="G16" s="105">
        <f t="shared" si="2"/>
        <v>83.12968587855902</v>
      </c>
      <c r="H16" s="50">
        <f t="shared" si="3"/>
        <v>1.8073328321321094</v>
      </c>
      <c r="I16" s="49">
        <f t="shared" si="4"/>
        <v>0.7607449750403094</v>
      </c>
      <c r="J16" s="49">
        <f aca="true" t="shared" si="27" ref="J16:J35">(10^-6)*3.14*$P$6*B16*$B$5</f>
        <v>-0.30547530945893336</v>
      </c>
      <c r="K16" s="49">
        <f t="shared" si="5"/>
        <v>0.03149935513325487</v>
      </c>
      <c r="L16" s="49">
        <f t="shared" si="6"/>
        <v>0.10940245236233184</v>
      </c>
      <c r="M16" s="49">
        <f t="shared" si="22"/>
        <v>0.0012781538659592394</v>
      </c>
      <c r="N16" s="49">
        <f t="shared" si="23"/>
        <v>0.14198203592154365</v>
      </c>
      <c r="O16" s="49">
        <f t="shared" si="7"/>
        <v>0.15445753377242336</v>
      </c>
      <c r="P16" s="205">
        <f t="shared" si="8"/>
        <v>4.505590279746455</v>
      </c>
      <c r="Q16" s="49">
        <f t="shared" si="9"/>
        <v>0.3</v>
      </c>
      <c r="R16" s="197">
        <f t="shared" si="10"/>
        <v>0.4061798248148467</v>
      </c>
      <c r="S16" s="53">
        <f t="shared" si="11"/>
        <v>3.6800996540435644</v>
      </c>
      <c r="T16" s="49">
        <f t="shared" si="12"/>
        <v>2.2607449750403092</v>
      </c>
      <c r="U16" s="49">
        <f t="shared" si="13"/>
        <v>2.919354679003255</v>
      </c>
      <c r="V16" s="54">
        <f t="shared" si="14"/>
        <v>2.3199003459564356</v>
      </c>
      <c r="W16" s="97">
        <f t="shared" si="15"/>
        <v>-8.17251507960161</v>
      </c>
      <c r="X16" s="25">
        <f aca="true" t="shared" si="28" ref="X16:X34">(V17-V15)/2</f>
        <v>-0.1887044885225706</v>
      </c>
      <c r="Y16" s="23">
        <f t="shared" si="16"/>
        <v>6.483617795517881</v>
      </c>
      <c r="Z16" s="23">
        <f t="shared" si="17"/>
        <v>1.978027515771426</v>
      </c>
      <c r="AA16" s="205">
        <f>ERF(AH16)+ERF(AI16)-1</f>
        <v>0.6006876932379943</v>
      </c>
      <c r="AB16" s="52">
        <f t="shared" si="18"/>
        <v>6</v>
      </c>
      <c r="AC16" s="223">
        <f t="shared" si="24"/>
        <v>0.3</v>
      </c>
      <c r="AD16" s="224">
        <f aca="true" t="shared" si="29" ref="AD16:AD34">AD17</f>
        <v>7.9</v>
      </c>
      <c r="AE16" s="201">
        <f t="shared" si="25"/>
        <v>0</v>
      </c>
      <c r="AF16" s="205">
        <f t="shared" si="19"/>
        <v>0.9698165354852814</v>
      </c>
      <c r="AG16" s="225">
        <f>IF(ABS(AF16)&lt;10,SIGN(AF16)*ERF(ABS(AF16)),SIGN(AF16))</f>
        <v>0.8297894216902277</v>
      </c>
      <c r="AH16" s="193">
        <f t="shared" si="20"/>
        <v>1.2340717222660118</v>
      </c>
      <c r="AI16" s="193">
        <f t="shared" si="21"/>
        <v>0.7055613487045507</v>
      </c>
    </row>
    <row r="17" spans="1:35" s="26" customFormat="1" ht="15" customHeight="1">
      <c r="A17" s="262">
        <f t="shared" si="26"/>
        <v>0.22000000000000003</v>
      </c>
      <c r="B17" s="271">
        <f aca="true" t="shared" si="30" ref="B17:B34">A17*$B$3</f>
        <v>-25.90740524781341</v>
      </c>
      <c r="C17" s="128">
        <f aca="true" t="shared" si="31" ref="C17:C34">A17*$Z$4</f>
        <v>0.005929</v>
      </c>
      <c r="D17" s="143">
        <f aca="true" t="shared" si="32" ref="D17:D35">(0.187/$B$5)*10^6/(SQRT(B17^2+C17^2))</f>
        <v>20622.895082844723</v>
      </c>
      <c r="E17" s="143">
        <f t="shared" si="0"/>
        <v>9090.90909090909</v>
      </c>
      <c r="F17" s="105">
        <f t="shared" si="1"/>
        <v>74.94021545460726</v>
      </c>
      <c r="G17" s="105">
        <f t="shared" si="2"/>
        <v>84.89024452234965</v>
      </c>
      <c r="H17" s="50">
        <f t="shared" si="3"/>
        <v>1.927967106405756</v>
      </c>
      <c r="I17" s="49">
        <f t="shared" si="4"/>
        <v>0.796970926232705</v>
      </c>
      <c r="J17" s="49">
        <f t="shared" si="27"/>
        <v>-0.3200217527665017</v>
      </c>
      <c r="K17" s="49">
        <f t="shared" si="5"/>
        <v>0.03441635605512195</v>
      </c>
      <c r="L17" s="49">
        <f t="shared" si="6"/>
        <v>0.13125584775699287</v>
      </c>
      <c r="M17" s="49">
        <f t="shared" si="22"/>
        <v>0.0012516459338703346</v>
      </c>
      <c r="N17" s="49">
        <f t="shared" si="23"/>
        <v>0.13894116803719275</v>
      </c>
      <c r="O17" s="49">
        <f t="shared" si="7"/>
        <v>0.17159734309947322</v>
      </c>
      <c r="P17" s="205">
        <f t="shared" si="8"/>
        <v>4.505590279746455</v>
      </c>
      <c r="Q17" s="49">
        <f t="shared" si="9"/>
        <v>0.3</v>
      </c>
      <c r="R17" s="197">
        <f t="shared" si="10"/>
        <v>0.40754706247009054</v>
      </c>
      <c r="S17" s="53">
        <f t="shared" si="11"/>
        <v>3.87427945400221</v>
      </c>
      <c r="T17" s="49">
        <f t="shared" si="12"/>
        <v>2.296970926232705</v>
      </c>
      <c r="U17" s="49">
        <f t="shared" si="13"/>
        <v>3.077308527769505</v>
      </c>
      <c r="V17" s="54">
        <f t="shared" si="14"/>
        <v>2.12572054599779</v>
      </c>
      <c r="W17" s="97">
        <f t="shared" si="15"/>
        <v>-8.210108268449249</v>
      </c>
      <c r="X17" s="25">
        <f t="shared" si="28"/>
        <v>-0.19999919829071988</v>
      </c>
      <c r="Y17" s="23">
        <f t="shared" si="16"/>
        <v>6.483617795517881</v>
      </c>
      <c r="Z17" s="23">
        <f t="shared" si="17"/>
        <v>1.978027515771426</v>
      </c>
      <c r="AA17" s="205">
        <f>ERF(AH17)+ERF(AI17)-1</f>
        <v>0.5840480565227999</v>
      </c>
      <c r="AB17" s="52">
        <f t="shared" si="18"/>
        <v>6</v>
      </c>
      <c r="AC17" s="223">
        <f t="shared" si="24"/>
        <v>0.3</v>
      </c>
      <c r="AD17" s="224">
        <f t="shared" si="29"/>
        <v>7.9</v>
      </c>
      <c r="AE17" s="201">
        <f t="shared" si="25"/>
        <v>0</v>
      </c>
      <c r="AF17" s="205">
        <f t="shared" si="19"/>
        <v>0.9497032834379254</v>
      </c>
      <c r="AG17" s="225">
        <f>IF(ABS(AF17)&lt;10,SIGN(AF17)*ERF(ABS(AF17)),SIGN(AF17))</f>
        <v>0.8207548956533259</v>
      </c>
      <c r="AH17" s="193">
        <f t="shared" si="20"/>
        <v>1.2084780200695127</v>
      </c>
      <c r="AI17" s="193">
        <f t="shared" si="21"/>
        <v>0.690928546806338</v>
      </c>
    </row>
    <row r="18" spans="1:35" s="26" customFormat="1" ht="15" customHeight="1">
      <c r="A18" s="262">
        <f t="shared" si="26"/>
        <v>0.23000000000000004</v>
      </c>
      <c r="B18" s="271">
        <f t="shared" si="30"/>
        <v>-27.085014577259475</v>
      </c>
      <c r="C18" s="128">
        <f t="shared" si="31"/>
        <v>0.006198500000000001</v>
      </c>
      <c r="D18" s="143">
        <f t="shared" si="32"/>
        <v>19726.24747054713</v>
      </c>
      <c r="E18" s="143">
        <f t="shared" si="0"/>
        <v>8695.652173913042</v>
      </c>
      <c r="F18" s="105">
        <f t="shared" si="1"/>
        <v>76.97794092183328</v>
      </c>
      <c r="G18" s="105">
        <f t="shared" si="2"/>
        <v>86.69441222620183</v>
      </c>
      <c r="H18" s="50">
        <f t="shared" si="3"/>
        <v>2.0546365202970738</v>
      </c>
      <c r="I18" s="49">
        <f t="shared" si="4"/>
        <v>0.8331968774251007</v>
      </c>
      <c r="J18" s="49">
        <f t="shared" si="27"/>
        <v>-0.33456819607406996</v>
      </c>
      <c r="K18" s="49">
        <f t="shared" si="5"/>
        <v>0.03744074283268127</v>
      </c>
      <c r="L18" s="49">
        <f t="shared" si="6"/>
        <v>0.15622374651998508</v>
      </c>
      <c r="M18" s="49">
        <f t="shared" si="22"/>
        <v>0.0012255983592624723</v>
      </c>
      <c r="N18" s="49">
        <f t="shared" si="23"/>
        <v>0.13595725256588057</v>
      </c>
      <c r="O18" s="49">
        <f t="shared" si="7"/>
        <v>0.19125367567695992</v>
      </c>
      <c r="P18" s="205">
        <f t="shared" si="8"/>
        <v>4.505590279746455</v>
      </c>
      <c r="Q18" s="49">
        <f t="shared" si="9"/>
        <v>0.3</v>
      </c>
      <c r="R18" s="197">
        <f t="shared" si="10"/>
        <v>0.40882997814000444</v>
      </c>
      <c r="S18" s="53">
        <f t="shared" si="11"/>
        <v>4.080098050625004</v>
      </c>
      <c r="T18" s="49">
        <f t="shared" si="12"/>
        <v>2.3331968774251006</v>
      </c>
      <c r="U18" s="49">
        <f t="shared" si="13"/>
        <v>3.2469011731999036</v>
      </c>
      <c r="V18" s="54">
        <f t="shared" si="14"/>
        <v>1.9199019493749958</v>
      </c>
      <c r="W18" s="97">
        <f t="shared" si="15"/>
        <v>-8.247617135311557</v>
      </c>
      <c r="X18" s="25">
        <f t="shared" si="28"/>
        <v>-0.21204172537738608</v>
      </c>
      <c r="Y18" s="23">
        <f t="shared" si="16"/>
        <v>6.483617795517881</v>
      </c>
      <c r="Z18" s="23">
        <f t="shared" si="17"/>
        <v>1.978027515771426</v>
      </c>
      <c r="AA18" s="205">
        <f>ERF(AH18)+ERF(AI18)-1</f>
        <v>0.5670917772927919</v>
      </c>
      <c r="AB18" s="52">
        <f t="shared" si="18"/>
        <v>6</v>
      </c>
      <c r="AC18" s="223">
        <f t="shared" si="24"/>
        <v>0.3</v>
      </c>
      <c r="AD18" s="224">
        <f t="shared" si="29"/>
        <v>7.9</v>
      </c>
      <c r="AE18" s="201">
        <f t="shared" si="25"/>
        <v>0</v>
      </c>
      <c r="AF18" s="205">
        <f t="shared" si="19"/>
        <v>0.9299393338566024</v>
      </c>
      <c r="AG18" s="225">
        <f>IF(ABS(AF18)&lt;10,SIGN(AF18)*ERF(ABS(AF18)),SIGN(AF18))</f>
        <v>0.8115346462959053</v>
      </c>
      <c r="AH18" s="193">
        <f t="shared" si="20"/>
        <v>1.1833287981227065</v>
      </c>
      <c r="AI18" s="193">
        <f t="shared" si="21"/>
        <v>0.6765498695904981</v>
      </c>
    </row>
    <row r="19" spans="1:35" s="26" customFormat="1" ht="15" customHeight="1">
      <c r="A19" s="262">
        <f t="shared" si="26"/>
        <v>0.24000000000000005</v>
      </c>
      <c r="B19" s="271">
        <f t="shared" si="30"/>
        <v>-28.26262390670554</v>
      </c>
      <c r="C19" s="128">
        <f t="shared" si="31"/>
        <v>0.006468000000000001</v>
      </c>
      <c r="D19" s="143">
        <f t="shared" si="32"/>
        <v>18904.320492607665</v>
      </c>
      <c r="E19" s="143">
        <f t="shared" si="0"/>
        <v>8333.333333333332</v>
      </c>
      <c r="F19" s="105">
        <f t="shared" si="1"/>
        <v>79.0501703991423</v>
      </c>
      <c r="G19" s="105">
        <f t="shared" si="2"/>
        <v>88.53952316798862</v>
      </c>
      <c r="H19" s="50">
        <f t="shared" si="3"/>
        <v>2.187349872945366</v>
      </c>
      <c r="I19" s="49">
        <f t="shared" si="4"/>
        <v>0.8694228286174965</v>
      </c>
      <c r="J19" s="49">
        <f t="shared" si="27"/>
        <v>-0.34911463938163817</v>
      </c>
      <c r="K19" s="49">
        <f t="shared" si="5"/>
        <v>0.04056895063481814</v>
      </c>
      <c r="L19" s="49">
        <f t="shared" si="6"/>
        <v>0.18460643368741866</v>
      </c>
      <c r="M19" s="49">
        <f t="shared" si="22"/>
        <v>0.0012000576192404083</v>
      </c>
      <c r="N19" s="49">
        <f t="shared" si="23"/>
        <v>0.13303537425916517</v>
      </c>
      <c r="O19" s="49">
        <f t="shared" si="7"/>
        <v>0.2138771077750597</v>
      </c>
      <c r="P19" s="205">
        <f t="shared" si="8"/>
        <v>4.505590279746455</v>
      </c>
      <c r="Q19" s="49">
        <f t="shared" si="9"/>
        <v>0.3</v>
      </c>
      <c r="R19" s="197">
        <f t="shared" si="10"/>
        <v>0.4100712874724768</v>
      </c>
      <c r="S19" s="53">
        <f t="shared" si="11"/>
        <v>4.298362904756982</v>
      </c>
      <c r="T19" s="49">
        <f t="shared" si="12"/>
        <v>2.3694228286174965</v>
      </c>
      <c r="U19" s="49">
        <f t="shared" si="13"/>
        <v>3.4289400761394857</v>
      </c>
      <c r="V19" s="54">
        <f t="shared" si="14"/>
        <v>1.7016370952430178</v>
      </c>
      <c r="W19" s="97">
        <f t="shared" si="15"/>
        <v>-8.285084395836426</v>
      </c>
      <c r="X19" s="25">
        <f t="shared" si="28"/>
        <v>-0.22496594142526227</v>
      </c>
      <c r="Y19" s="23">
        <f t="shared" si="16"/>
        <v>6.483617795517881</v>
      </c>
      <c r="Z19" s="23">
        <f t="shared" si="17"/>
        <v>1.978027515771426</v>
      </c>
      <c r="AA19" s="205">
        <f>ERF(AH19)+ERF(AI19)-1</f>
        <v>0.5498672879982105</v>
      </c>
      <c r="AB19" s="52">
        <f t="shared" si="18"/>
        <v>6</v>
      </c>
      <c r="AC19" s="223">
        <f t="shared" si="24"/>
        <v>0.3</v>
      </c>
      <c r="AD19" s="224">
        <f t="shared" si="29"/>
        <v>7.9</v>
      </c>
      <c r="AE19" s="201">
        <f t="shared" si="25"/>
        <v>0</v>
      </c>
      <c r="AF19" s="205">
        <f t="shared" si="19"/>
        <v>0.9105599518732455</v>
      </c>
      <c r="AG19" s="225">
        <f>IF(ABS(AF19)&lt;10,SIGN(AF19)*ERF(ABS(AF19)),SIGN(AF19))</f>
        <v>0.8021586399680132</v>
      </c>
      <c r="AH19" s="193">
        <f t="shared" si="20"/>
        <v>1.1586689305853015</v>
      </c>
      <c r="AI19" s="193">
        <f t="shared" si="21"/>
        <v>0.6624509731611894</v>
      </c>
    </row>
    <row r="20" spans="1:35" s="20" customFormat="1" ht="15" customHeight="1">
      <c r="A20" s="261">
        <f t="shared" si="26"/>
        <v>0.25000000000000006</v>
      </c>
      <c r="B20" s="270">
        <f t="shared" si="30"/>
        <v>-29.440233236151606</v>
      </c>
      <c r="C20" s="127">
        <f t="shared" si="31"/>
        <v>0.006737500000000001</v>
      </c>
      <c r="D20" s="142">
        <f t="shared" si="32"/>
        <v>18148.147672903357</v>
      </c>
      <c r="E20" s="142">
        <f t="shared" si="0"/>
        <v>7999.999999999998</v>
      </c>
      <c r="F20" s="104">
        <f t="shared" si="1"/>
        <v>81.15426080673457</v>
      </c>
      <c r="G20" s="104">
        <f t="shared" si="2"/>
        <v>90.4230710038586</v>
      </c>
      <c r="H20" s="98">
        <f t="shared" si="3"/>
        <v>2.3261276816000667</v>
      </c>
      <c r="I20" s="95">
        <f t="shared" si="4"/>
        <v>0.9056487798098922</v>
      </c>
      <c r="J20" s="95">
        <f t="shared" si="27"/>
        <v>-0.3636610826892065</v>
      </c>
      <c r="K20" s="95">
        <f t="shared" si="5"/>
        <v>0.043797318018104166</v>
      </c>
      <c r="L20" s="95">
        <f t="shared" si="6"/>
        <v>0.21672904167766988</v>
      </c>
      <c r="M20" s="95">
        <f t="shared" si="22"/>
        <v>0.0011750599509844485</v>
      </c>
      <c r="N20" s="95">
        <f t="shared" si="23"/>
        <v>0.13017942579275452</v>
      </c>
      <c r="O20" s="95">
        <f t="shared" si="7"/>
        <v>0.24002832620427347</v>
      </c>
      <c r="P20" s="207">
        <f t="shared" si="8"/>
        <v>4.505590279746455</v>
      </c>
      <c r="Q20" s="95">
        <f t="shared" si="9"/>
        <v>0.3</v>
      </c>
      <c r="R20" s="196">
        <f t="shared" si="10"/>
        <v>0.41131667839087216</v>
      </c>
      <c r="S20" s="96">
        <f t="shared" si="11"/>
        <v>4.530029933475529</v>
      </c>
      <c r="T20" s="95">
        <f t="shared" si="12"/>
        <v>2.4056487798098924</v>
      </c>
      <c r="U20" s="95">
        <f t="shared" si="13"/>
        <v>3.6243811536656363</v>
      </c>
      <c r="V20" s="100">
        <f t="shared" si="14"/>
        <v>1.4699700665244713</v>
      </c>
      <c r="W20" s="101">
        <f t="shared" si="15"/>
        <v>-8.322555737947217</v>
      </c>
      <c r="X20" s="27">
        <f t="shared" si="28"/>
        <v>-0.23894173641383576</v>
      </c>
      <c r="Y20" s="18">
        <f t="shared" si="16"/>
        <v>6.483617795517881</v>
      </c>
      <c r="Z20" s="18">
        <f t="shared" si="17"/>
        <v>1.978027515771426</v>
      </c>
      <c r="AA20" s="207">
        <f>ERF(AH20)+ERF(AI20)-1</f>
        <v>0.5324214747016918</v>
      </c>
      <c r="AB20" s="99">
        <f t="shared" si="18"/>
        <v>6</v>
      </c>
      <c r="AC20" s="226">
        <f t="shared" si="24"/>
        <v>0.3</v>
      </c>
      <c r="AD20" s="227">
        <f t="shared" si="29"/>
        <v>7.9</v>
      </c>
      <c r="AE20" s="228">
        <f t="shared" si="25"/>
        <v>0</v>
      </c>
      <c r="AF20" s="207">
        <f t="shared" si="19"/>
        <v>0.8915926329385951</v>
      </c>
      <c r="AG20" s="229">
        <f>IF(ABS(AF20)&lt;10,SIGN(AF20)*ERF(ABS(AF20)),SIGN(AF20))</f>
        <v>0.7926558677731648</v>
      </c>
      <c r="AH20" s="191">
        <f t="shared" si="20"/>
        <v>1.1345334048564684</v>
      </c>
      <c r="AI20" s="191">
        <f t="shared" si="21"/>
        <v>0.6486518610207217</v>
      </c>
    </row>
    <row r="21" spans="1:35" s="26" customFormat="1" ht="15" customHeight="1">
      <c r="A21" s="262">
        <f t="shared" si="26"/>
        <v>0.26000000000000006</v>
      </c>
      <c r="B21" s="271">
        <f t="shared" si="30"/>
        <v>-30.61784256559767</v>
      </c>
      <c r="C21" s="128">
        <f t="shared" si="31"/>
        <v>0.007007000000000001</v>
      </c>
      <c r="D21" s="143">
        <f t="shared" si="32"/>
        <v>17450.141993176305</v>
      </c>
      <c r="E21" s="143">
        <f t="shared" si="0"/>
        <v>7692.307692307691</v>
      </c>
      <c r="F21" s="105">
        <f t="shared" si="1"/>
        <v>83.28779748214882</v>
      </c>
      <c r="G21" s="105">
        <f t="shared" si="2"/>
        <v>92.34270372968724</v>
      </c>
      <c r="H21" s="50">
        <f t="shared" si="3"/>
        <v>2.471003948624743</v>
      </c>
      <c r="I21" s="49">
        <f t="shared" si="4"/>
        <v>0.9418747310022879</v>
      </c>
      <c r="J21" s="49">
        <f t="shared" si="27"/>
        <v>-0.37820752599677476</v>
      </c>
      <c r="K21" s="49">
        <f t="shared" si="5"/>
        <v>0.047122094048116944</v>
      </c>
      <c r="L21" s="49">
        <f t="shared" si="6"/>
        <v>0.2529459098829023</v>
      </c>
      <c r="M21" s="49">
        <f t="shared" si="22"/>
        <v>0.0011506326443796583</v>
      </c>
      <c r="N21" s="49">
        <f t="shared" si="23"/>
        <v>0.12739226425324293</v>
      </c>
      <c r="O21" s="49">
        <f t="shared" si="7"/>
        <v>0.2704128462702322</v>
      </c>
      <c r="P21" s="205">
        <f t="shared" si="8"/>
        <v>4.505590279746455</v>
      </c>
      <c r="Q21" s="49">
        <f t="shared" si="9"/>
        <v>0.3</v>
      </c>
      <c r="R21" s="197">
        <f t="shared" si="10"/>
        <v>0.4126166775512461</v>
      </c>
      <c r="S21" s="53">
        <f t="shared" si="11"/>
        <v>4.776246377584654</v>
      </c>
      <c r="T21" s="49">
        <f t="shared" si="12"/>
        <v>2.441874731002288</v>
      </c>
      <c r="U21" s="49">
        <f t="shared" si="13"/>
        <v>3.834371646582366</v>
      </c>
      <c r="V21" s="54">
        <f t="shared" si="14"/>
        <v>1.2237536224153462</v>
      </c>
      <c r="W21" s="97">
        <f t="shared" si="15"/>
        <v>-8.360081688299987</v>
      </c>
      <c r="X21" s="25">
        <f t="shared" si="28"/>
        <v>-0.2541883408792325</v>
      </c>
      <c r="Y21" s="23">
        <f t="shared" si="16"/>
        <v>6.483617795517881</v>
      </c>
      <c r="Z21" s="23">
        <f t="shared" si="17"/>
        <v>1.978027515771426</v>
      </c>
      <c r="AA21" s="205">
        <f>ERF(AH21)+ERF(AI21)-1</f>
        <v>0.5147992877705057</v>
      </c>
      <c r="AB21" s="52">
        <f t="shared" si="18"/>
        <v>6</v>
      </c>
      <c r="AC21" s="223">
        <f t="shared" si="24"/>
        <v>0.3</v>
      </c>
      <c r="AD21" s="224">
        <f t="shared" si="29"/>
        <v>7.9</v>
      </c>
      <c r="AE21" s="201">
        <f t="shared" si="25"/>
        <v>0</v>
      </c>
      <c r="AF21" s="205">
        <f t="shared" si="19"/>
        <v>0.8730580836220971</v>
      </c>
      <c r="AG21" s="225">
        <f>IF(ABS(AF21)&lt;10,SIGN(AF21)*ERF(ABS(AF21)),SIGN(AF21))</f>
        <v>0.7830542039623498</v>
      </c>
      <c r="AH21" s="193">
        <f t="shared" si="20"/>
        <v>1.1109485696226684</v>
      </c>
      <c r="AI21" s="193">
        <f t="shared" si="21"/>
        <v>0.6351675976215256</v>
      </c>
    </row>
    <row r="22" spans="1:35" s="26" customFormat="1" ht="15" customHeight="1">
      <c r="A22" s="262">
        <f t="shared" si="26"/>
        <v>0.2700000000000001</v>
      </c>
      <c r="B22" s="271">
        <f t="shared" si="30"/>
        <v>-31.795451895043737</v>
      </c>
      <c r="C22" s="128">
        <f t="shared" si="31"/>
        <v>0.007276500000000002</v>
      </c>
      <c r="D22" s="143">
        <f t="shared" si="32"/>
        <v>16803.840437873474</v>
      </c>
      <c r="E22" s="143">
        <f t="shared" si="0"/>
        <v>7407.407407407405</v>
      </c>
      <c r="F22" s="105">
        <f t="shared" si="1"/>
        <v>85.44857475202998</v>
      </c>
      <c r="G22" s="105">
        <f t="shared" si="2"/>
        <v>94.2962175796814</v>
      </c>
      <c r="H22" s="50">
        <f t="shared" si="3"/>
        <v>2.6220329775967484</v>
      </c>
      <c r="I22" s="49">
        <f t="shared" si="4"/>
        <v>0.9781006821946836</v>
      </c>
      <c r="J22" s="49">
        <f t="shared" si="27"/>
        <v>-0.39275396930434303</v>
      </c>
      <c r="K22" s="49">
        <f t="shared" si="5"/>
        <v>0.05053944553713941</v>
      </c>
      <c r="L22" s="49">
        <f t="shared" si="6"/>
        <v>0.2936460092119027</v>
      </c>
      <c r="M22" s="49">
        <f t="shared" si="22"/>
        <v>0.0011267952427876842</v>
      </c>
      <c r="N22" s="49">
        <f t="shared" si="23"/>
        <v>0.12467585554214317</v>
      </c>
      <c r="O22" s="49">
        <f t="shared" si="7"/>
        <v>0.30592916038019413</v>
      </c>
      <c r="P22" s="205">
        <f t="shared" si="8"/>
        <v>4.505590279746455</v>
      </c>
      <c r="Q22" s="49">
        <f t="shared" si="9"/>
        <v>0.3</v>
      </c>
      <c r="R22" s="197">
        <f t="shared" si="10"/>
        <v>0.4140219303083219</v>
      </c>
      <c r="S22" s="53">
        <f t="shared" si="11"/>
        <v>5.038406615233994</v>
      </c>
      <c r="T22" s="49">
        <f t="shared" si="12"/>
        <v>2.4781006821946834</v>
      </c>
      <c r="U22" s="49">
        <f t="shared" si="13"/>
        <v>4.06030593303931</v>
      </c>
      <c r="V22" s="54">
        <f t="shared" si="14"/>
        <v>0.9615933847660063</v>
      </c>
      <c r="W22" s="97">
        <f t="shared" si="15"/>
        <v>-8.397712892249459</v>
      </c>
      <c r="X22" s="25">
        <f t="shared" si="28"/>
        <v>-0.2709931991104235</v>
      </c>
      <c r="Y22" s="23">
        <f t="shared" si="16"/>
        <v>6.483617795517881</v>
      </c>
      <c r="Z22" s="23">
        <f t="shared" si="17"/>
        <v>1.978027515771426</v>
      </c>
      <c r="AA22" s="205">
        <f>ERF(AH22)+ERF(AI22)-1</f>
        <v>0.4970436264077924</v>
      </c>
      <c r="AB22" s="52">
        <f t="shared" si="18"/>
        <v>6</v>
      </c>
      <c r="AC22" s="223">
        <f t="shared" si="24"/>
        <v>0.3</v>
      </c>
      <c r="AD22" s="224">
        <f t="shared" si="29"/>
        <v>7.9</v>
      </c>
      <c r="AE22" s="201">
        <f t="shared" si="25"/>
        <v>0</v>
      </c>
      <c r="AF22" s="205">
        <f t="shared" si="19"/>
        <v>0.8549711327137648</v>
      </c>
      <c r="AG22" s="225">
        <f>IF(ABS(AF22)&lt;10,SIGN(AF22)*ERF(ABS(AF22)),SIGN(AF22))</f>
        <v>0.7733799794807482</v>
      </c>
      <c r="AH22" s="193">
        <f t="shared" si="20"/>
        <v>1.087933294216153</v>
      </c>
      <c r="AI22" s="193">
        <f t="shared" si="21"/>
        <v>0.6220089712113764</v>
      </c>
    </row>
    <row r="23" spans="1:35" s="26" customFormat="1" ht="15" customHeight="1">
      <c r="A23" s="262">
        <f t="shared" si="26"/>
        <v>0.2800000000000001</v>
      </c>
      <c r="B23" s="271">
        <f t="shared" si="30"/>
        <v>-32.9730612244898</v>
      </c>
      <c r="C23" s="128">
        <f t="shared" si="31"/>
        <v>0.0075460000000000015</v>
      </c>
      <c r="D23" s="143">
        <f t="shared" si="32"/>
        <v>16203.703279377994</v>
      </c>
      <c r="E23" s="143">
        <f t="shared" si="0"/>
        <v>7142.85714285714</v>
      </c>
      <c r="F23" s="105">
        <f t="shared" si="1"/>
        <v>87.63457765211717</v>
      </c>
      <c r="G23" s="105">
        <f t="shared" si="2"/>
        <v>96.28155027286543</v>
      </c>
      <c r="H23" s="50">
        <f t="shared" si="3"/>
        <v>2.77929145386382</v>
      </c>
      <c r="I23" s="49">
        <f t="shared" si="4"/>
        <v>1.0143266333870793</v>
      </c>
      <c r="J23" s="49">
        <f t="shared" si="27"/>
        <v>-0.40730041261191124</v>
      </c>
      <c r="K23" s="49">
        <f t="shared" si="5"/>
        <v>0.054045464378764556</v>
      </c>
      <c r="L23" s="49">
        <f t="shared" si="6"/>
        <v>0.3392597066004552</v>
      </c>
      <c r="M23" s="49">
        <f t="shared" si="22"/>
        <v>0.0011035606414783916</v>
      </c>
      <c r="N23" s="49">
        <f t="shared" si="23"/>
        <v>0.12203140565393102</v>
      </c>
      <c r="O23" s="49">
        <f t="shared" si="7"/>
        <v>0.3477377132699084</v>
      </c>
      <c r="P23" s="205">
        <f t="shared" si="8"/>
        <v>4.505590279746455</v>
      </c>
      <c r="Q23" s="49">
        <f t="shared" si="9"/>
        <v>0.3</v>
      </c>
      <c r="R23" s="197">
        <f t="shared" si="10"/>
        <v>0.41558586303030776</v>
      </c>
      <c r="S23" s="53">
        <f t="shared" si="11"/>
        <v>5.318232775805501</v>
      </c>
      <c r="T23" s="49">
        <f t="shared" si="12"/>
        <v>2.5143266333870793</v>
      </c>
      <c r="U23" s="49">
        <f t="shared" si="13"/>
        <v>4.3039061424184215</v>
      </c>
      <c r="V23" s="54">
        <f t="shared" si="14"/>
        <v>0.6817672241944992</v>
      </c>
      <c r="W23" s="97">
        <f t="shared" si="15"/>
        <v>-8.43550277616384</v>
      </c>
      <c r="X23" s="25">
        <f t="shared" si="28"/>
        <v>-0.2897394857507116</v>
      </c>
      <c r="Y23" s="23">
        <f t="shared" si="16"/>
        <v>6.483617795517881</v>
      </c>
      <c r="Z23" s="23">
        <f t="shared" si="17"/>
        <v>1.978027515771426</v>
      </c>
      <c r="AA23" s="205">
        <f>ERF(AH23)+ERF(AI23)-1</f>
        <v>0.47919498941437677</v>
      </c>
      <c r="AB23" s="52">
        <f t="shared" si="18"/>
        <v>6</v>
      </c>
      <c r="AC23" s="223">
        <f t="shared" si="24"/>
        <v>0.3</v>
      </c>
      <c r="AD23" s="224">
        <f t="shared" si="29"/>
        <v>7.9</v>
      </c>
      <c r="AE23" s="201">
        <f t="shared" si="25"/>
        <v>0</v>
      </c>
      <c r="AF23" s="205">
        <f t="shared" si="19"/>
        <v>0.8373415646740445</v>
      </c>
      <c r="AG23" s="225">
        <f>IF(ABS(AF23)&lt;10,SIGN(AF23)*ERF(ABS(AF23)),SIGN(AF23))</f>
        <v>0.7636579426735578</v>
      </c>
      <c r="AH23" s="193">
        <f t="shared" si="20"/>
        <v>1.0655000291628849</v>
      </c>
      <c r="AI23" s="193">
        <f t="shared" si="21"/>
        <v>0.6091831001852039</v>
      </c>
    </row>
    <row r="24" spans="1:35" s="26" customFormat="1" ht="15" customHeight="1">
      <c r="A24" s="262">
        <f t="shared" si="26"/>
        <v>0.2900000000000001</v>
      </c>
      <c r="B24" s="271">
        <f t="shared" si="30"/>
        <v>-34.15067055393587</v>
      </c>
      <c r="C24" s="128">
        <f t="shared" si="31"/>
        <v>0.007815500000000001</v>
      </c>
      <c r="D24" s="143">
        <f t="shared" si="32"/>
        <v>15644.954890433924</v>
      </c>
      <c r="E24" s="143">
        <f t="shared" si="0"/>
        <v>6896.551724137928</v>
      </c>
      <c r="F24" s="105">
        <f t="shared" si="1"/>
        <v>89.84396489894318</v>
      </c>
      <c r="G24" s="105">
        <f t="shared" si="2"/>
        <v>98.29677386081343</v>
      </c>
      <c r="H24" s="50">
        <f t="shared" si="3"/>
        <v>2.9428796545610663</v>
      </c>
      <c r="I24" s="49">
        <f t="shared" si="4"/>
        <v>1.050552584579475</v>
      </c>
      <c r="J24" s="49">
        <f t="shared" si="27"/>
        <v>-0.42184685591947957</v>
      </c>
      <c r="K24" s="49">
        <f t="shared" si="5"/>
        <v>0.05763617495985024</v>
      </c>
      <c r="L24" s="49">
        <f t="shared" si="6"/>
        <v>0.3902672384313939</v>
      </c>
      <c r="M24" s="49">
        <f t="shared" si="22"/>
        <v>0.001080936079673471</v>
      </c>
      <c r="N24" s="49">
        <f t="shared" si="23"/>
        <v>0.11945947853821094</v>
      </c>
      <c r="O24" s="49">
        <f t="shared" si="7"/>
        <v>0.39736082614472756</v>
      </c>
      <c r="P24" s="205">
        <f t="shared" si="8"/>
        <v>4.505590279746455</v>
      </c>
      <c r="Q24" s="49">
        <f t="shared" si="9"/>
        <v>0.3</v>
      </c>
      <c r="R24" s="197">
        <f t="shared" si="10"/>
        <v>0.41736580448054283</v>
      </c>
      <c r="S24" s="53">
        <f t="shared" si="11"/>
        <v>5.617885586735417</v>
      </c>
      <c r="T24" s="49">
        <f t="shared" si="12"/>
        <v>2.550552584579475</v>
      </c>
      <c r="U24" s="49">
        <f t="shared" si="13"/>
        <v>4.567333002155942</v>
      </c>
      <c r="V24" s="54">
        <f t="shared" si="14"/>
        <v>0.38211441326458306</v>
      </c>
      <c r="W24" s="97">
        <f t="shared" si="15"/>
        <v>-8.47350866880647</v>
      </c>
      <c r="X24" s="25">
        <f t="shared" si="28"/>
        <v>-0.310949173913329</v>
      </c>
      <c r="Y24" s="23">
        <f t="shared" si="16"/>
        <v>6.483617795517881</v>
      </c>
      <c r="Z24" s="23">
        <f t="shared" si="17"/>
        <v>1.978027515771426</v>
      </c>
      <c r="AA24" s="205">
        <f>ERF(AH24)+ERF(AI24)-1</f>
        <v>0.4612915020739552</v>
      </c>
      <c r="AB24" s="52">
        <f t="shared" si="18"/>
        <v>6</v>
      </c>
      <c r="AC24" s="223">
        <f t="shared" si="24"/>
        <v>0.3</v>
      </c>
      <c r="AD24" s="224">
        <f t="shared" si="29"/>
        <v>7.9</v>
      </c>
      <c r="AE24" s="201">
        <f t="shared" si="25"/>
        <v>0</v>
      </c>
      <c r="AF24" s="205">
        <f t="shared" si="19"/>
        <v>0.8201748723603192</v>
      </c>
      <c r="AG24" s="225">
        <f>IF(ABS(AF24)&lt;10,SIGN(AF24)*ERF(ABS(AF24)),SIGN(AF24))</f>
        <v>0.7539113057597802</v>
      </c>
      <c r="AH24" s="193">
        <f t="shared" si="20"/>
        <v>1.0436557640116322</v>
      </c>
      <c r="AI24" s="193">
        <f t="shared" si="21"/>
        <v>0.5966939807090059</v>
      </c>
    </row>
    <row r="25" spans="1:35" s="20" customFormat="1" ht="15" customHeight="1">
      <c r="A25" s="261">
        <f t="shared" si="26"/>
        <v>0.3000000000000001</v>
      </c>
      <c r="B25" s="270">
        <f t="shared" si="30"/>
        <v>-35.32827988338193</v>
      </c>
      <c r="C25" s="127">
        <f t="shared" si="31"/>
        <v>0.008085000000000002</v>
      </c>
      <c r="D25" s="142">
        <f t="shared" si="32"/>
        <v>15123.456394086126</v>
      </c>
      <c r="E25" s="142">
        <f t="shared" si="0"/>
        <v>6666.666666666664</v>
      </c>
      <c r="F25" s="104">
        <f t="shared" si="1"/>
        <v>92.07505315038375</v>
      </c>
      <c r="G25" s="104">
        <f t="shared" si="2"/>
        <v>100.34008737950825</v>
      </c>
      <c r="H25" s="98">
        <f t="shared" si="3"/>
        <v>3.1129298482961225</v>
      </c>
      <c r="I25" s="95">
        <f t="shared" si="4"/>
        <v>1.0867785357718707</v>
      </c>
      <c r="J25" s="95">
        <f t="shared" si="27"/>
        <v>-0.43639329922704784</v>
      </c>
      <c r="K25" s="95">
        <f t="shared" si="5"/>
        <v>0.06130754163025456</v>
      </c>
      <c r="L25" s="95">
        <f t="shared" si="6"/>
        <v>0.44720939398141735</v>
      </c>
      <c r="M25" s="95">
        <f t="shared" si="22"/>
        <v>0.0010589240268427014</v>
      </c>
      <c r="N25" s="95">
        <f t="shared" si="23"/>
        <v>0.11696010079503576</v>
      </c>
      <c r="O25" s="95">
        <f t="shared" si="7"/>
        <v>0.4568328874324061</v>
      </c>
      <c r="P25" s="207">
        <f t="shared" si="8"/>
        <v>4.505590279746455</v>
      </c>
      <c r="Q25" s="95">
        <f t="shared" si="9"/>
        <v>0.3</v>
      </c>
      <c r="R25" s="196">
        <f t="shared" si="10"/>
        <v>0.4194203573553068</v>
      </c>
      <c r="S25" s="96">
        <f t="shared" si="11"/>
        <v>5.940131123632159</v>
      </c>
      <c r="T25" s="95">
        <f t="shared" si="12"/>
        <v>2.5867785357718707</v>
      </c>
      <c r="U25" s="95">
        <f t="shared" si="13"/>
        <v>4.853352587860288</v>
      </c>
      <c r="V25" s="100">
        <f t="shared" si="14"/>
        <v>0.05986887636784122</v>
      </c>
      <c r="W25" s="101">
        <f t="shared" si="15"/>
        <v>-8.51178917287363</v>
      </c>
      <c r="X25" s="27">
        <f t="shared" si="28"/>
        <v>-0.3353513957462173</v>
      </c>
      <c r="Y25" s="18">
        <f t="shared" si="16"/>
        <v>6.483617795517881</v>
      </c>
      <c r="Z25" s="18">
        <f t="shared" si="17"/>
        <v>1.978027515771426</v>
      </c>
      <c r="AA25" s="207">
        <f>ERF(AH25)+ERF(AI25)-1</f>
        <v>0.4433686479056993</v>
      </c>
      <c r="AB25" s="99">
        <f t="shared" si="18"/>
        <v>6</v>
      </c>
      <c r="AC25" s="226">
        <f t="shared" si="24"/>
        <v>0.3</v>
      </c>
      <c r="AD25" s="227">
        <f t="shared" si="29"/>
        <v>7.9</v>
      </c>
      <c r="AE25" s="228">
        <f t="shared" si="25"/>
        <v>0.05986887636784122</v>
      </c>
      <c r="AF25" s="207">
        <f t="shared" si="19"/>
        <v>0.8034729295161884</v>
      </c>
      <c r="AG25" s="229">
        <f>IF(ABS(AF25)&lt;10,SIGN(AF25)*ERF(ABS(AF25)),SIGN(AF25))</f>
        <v>0.7441614073188108</v>
      </c>
      <c r="AH25" s="191">
        <f t="shared" si="20"/>
        <v>1.0224028830628338</v>
      </c>
      <c r="AI25" s="191">
        <f t="shared" si="21"/>
        <v>0.584542975969543</v>
      </c>
    </row>
    <row r="26" spans="1:35" s="26" customFormat="1" ht="15" customHeight="1">
      <c r="A26" s="262">
        <f t="shared" si="26"/>
        <v>0.3100000000000001</v>
      </c>
      <c r="B26" s="271">
        <f t="shared" si="30"/>
        <v>-36.505889212827995</v>
      </c>
      <c r="C26" s="128">
        <f t="shared" si="31"/>
        <v>0.008354500000000003</v>
      </c>
      <c r="D26" s="143">
        <f t="shared" si="32"/>
        <v>14635.602962018835</v>
      </c>
      <c r="E26" s="143">
        <f t="shared" si="0"/>
        <v>6451.612903225804</v>
      </c>
      <c r="F26" s="105">
        <f t="shared" si="1"/>
        <v>94.32630254555372</v>
      </c>
      <c r="G26" s="105">
        <f t="shared" si="2"/>
        <v>102.4098094647026</v>
      </c>
      <c r="H26" s="50">
        <f t="shared" si="3"/>
        <v>3.2896074138123392</v>
      </c>
      <c r="I26" s="49">
        <f t="shared" si="4"/>
        <v>1.1230044869642666</v>
      </c>
      <c r="J26" s="49">
        <f t="shared" si="27"/>
        <v>-0.45093974253461605</v>
      </c>
      <c r="K26" s="49">
        <f t="shared" si="5"/>
        <v>0.06505547621083546</v>
      </c>
      <c r="L26" s="49">
        <f t="shared" si="6"/>
        <v>0.5107010987073256</v>
      </c>
      <c r="M26" s="49">
        <f t="shared" si="22"/>
        <v>0.0010375229671555951</v>
      </c>
      <c r="N26" s="49">
        <f t="shared" si="23"/>
        <v>0.11453285381847092</v>
      </c>
      <c r="O26" s="49">
        <f t="shared" si="7"/>
        <v>0.528931332233974</v>
      </c>
      <c r="P26" s="205">
        <f t="shared" si="8"/>
        <v>4.505590279746455</v>
      </c>
      <c r="Q26" s="49">
        <f t="shared" si="9"/>
        <v>0.3</v>
      </c>
      <c r="R26" s="197">
        <f t="shared" si="10"/>
        <v>0.4218111926914765</v>
      </c>
      <c r="S26" s="53">
        <f t="shared" si="11"/>
        <v>6.2885883782278515</v>
      </c>
      <c r="T26" s="49">
        <f t="shared" si="12"/>
        <v>2.6230044869642666</v>
      </c>
      <c r="U26" s="49">
        <f t="shared" si="13"/>
        <v>5.165583891263585</v>
      </c>
      <c r="V26" s="54">
        <f t="shared" si="14"/>
        <v>-0.28858837822785155</v>
      </c>
      <c r="W26" s="97">
        <f t="shared" si="15"/>
        <v>-8.550405959402196</v>
      </c>
      <c r="X26" s="25">
        <f t="shared" si="28"/>
        <v>-0.3639971715346282</v>
      </c>
      <c r="Y26" s="23">
        <f t="shared" si="16"/>
        <v>6.483617795517881</v>
      </c>
      <c r="Z26" s="23">
        <f t="shared" si="17"/>
        <v>1.978027515771426</v>
      </c>
      <c r="AA26" s="205">
        <f>ERF(AH26)+ERF(AI26)-1</f>
        <v>0.425459415724069</v>
      </c>
      <c r="AB26" s="52">
        <f t="shared" si="18"/>
        <v>6</v>
      </c>
      <c r="AC26" s="223">
        <f t="shared" si="24"/>
        <v>0.3</v>
      </c>
      <c r="AD26" s="224">
        <f t="shared" si="29"/>
        <v>7.9</v>
      </c>
      <c r="AE26" s="201">
        <f t="shared" si="25"/>
        <v>0</v>
      </c>
      <c r="AF26" s="205">
        <f t="shared" si="19"/>
        <v>0.7872345859847649</v>
      </c>
      <c r="AG26" s="225">
        <f>IF(ABS(AF26)&lt;10,SIGN(AF26)*ERF(ABS(AF26)),SIGN(AF26))</f>
        <v>0.7344278815303803</v>
      </c>
      <c r="AH26" s="193">
        <f t="shared" si="20"/>
        <v>1.0017399227653547</v>
      </c>
      <c r="AI26" s="193">
        <f t="shared" si="21"/>
        <v>0.5727292492041749</v>
      </c>
    </row>
    <row r="27" spans="1:35" s="26" customFormat="1" ht="15" customHeight="1">
      <c r="A27" s="262">
        <f t="shared" si="26"/>
        <v>0.3200000000000001</v>
      </c>
      <c r="B27" s="271">
        <f t="shared" si="30"/>
        <v>-37.68349854227406</v>
      </c>
      <c r="C27" s="128">
        <f t="shared" si="31"/>
        <v>0.008624000000000003</v>
      </c>
      <c r="D27" s="143">
        <f t="shared" si="32"/>
        <v>14178.240369455745</v>
      </c>
      <c r="E27" s="143">
        <f t="shared" si="0"/>
        <v>6249.999999999997</v>
      </c>
      <c r="F27" s="105">
        <f t="shared" si="1"/>
        <v>96.59630348295195</v>
      </c>
      <c r="G27" s="105">
        <f t="shared" si="2"/>
        <v>104.50437105332922</v>
      </c>
      <c r="H27" s="50">
        <f t="shared" si="3"/>
        <v>3.4731173180914565</v>
      </c>
      <c r="I27" s="49">
        <f t="shared" si="4"/>
        <v>1.1592304381566623</v>
      </c>
      <c r="J27" s="49">
        <f t="shared" si="27"/>
        <v>-0.4654861858421843</v>
      </c>
      <c r="K27" s="49">
        <f t="shared" si="5"/>
        <v>0.06887584552031452</v>
      </c>
      <c r="L27" s="49">
        <f t="shared" si="6"/>
        <v>0.5814488609797075</v>
      </c>
      <c r="M27" s="49">
        <f t="shared" si="22"/>
        <v>0.0010167280881240466</v>
      </c>
      <c r="N27" s="49">
        <f t="shared" si="23"/>
        <v>0.11217695423429677</v>
      </c>
      <c r="O27" s="49">
        <f t="shared" si="7"/>
        <v>0.6175479510113653</v>
      </c>
      <c r="P27" s="205">
        <f t="shared" si="8"/>
        <v>4.505590279746455</v>
      </c>
      <c r="Q27" s="49">
        <f t="shared" si="9"/>
        <v>0.3</v>
      </c>
      <c r="R27" s="197">
        <f t="shared" si="10"/>
        <v>0.4246039442279259</v>
      </c>
      <c r="S27" s="53">
        <f t="shared" si="11"/>
        <v>6.668125466701415</v>
      </c>
      <c r="T27" s="49">
        <f t="shared" si="12"/>
        <v>2.659230438156662</v>
      </c>
      <c r="U27" s="49">
        <f t="shared" si="13"/>
        <v>5.508895028544753</v>
      </c>
      <c r="V27" s="54">
        <f t="shared" si="14"/>
        <v>-0.6681254667014151</v>
      </c>
      <c r="W27" s="97">
        <f t="shared" si="15"/>
        <v>-8.58942466213104</v>
      </c>
      <c r="X27" s="25">
        <f t="shared" si="28"/>
        <v>-0.3984596117663357</v>
      </c>
      <c r="Y27" s="23">
        <f t="shared" si="16"/>
        <v>6.483617795517881</v>
      </c>
      <c r="Z27" s="23">
        <f t="shared" si="17"/>
        <v>1.978027515771426</v>
      </c>
      <c r="AA27" s="205">
        <f>ERF(AH27)+ERF(AI27)-1</f>
        <v>0.40759408581064793</v>
      </c>
      <c r="AB27" s="52">
        <f t="shared" si="18"/>
        <v>6</v>
      </c>
      <c r="AC27" s="223">
        <f t="shared" si="24"/>
        <v>0.3</v>
      </c>
      <c r="AD27" s="224">
        <f t="shared" si="29"/>
        <v>7.9</v>
      </c>
      <c r="AE27" s="201">
        <f t="shared" si="25"/>
        <v>0</v>
      </c>
      <c r="AF27" s="205">
        <f t="shared" si="19"/>
        <v>0.7714561902255999</v>
      </c>
      <c r="AG27" s="225">
        <f>IF(ABS(AF27)&lt;10,SIGN(AF27)*ERF(ABS(AF27)),SIGN(AF27))</f>
        <v>0.7247285618469007</v>
      </c>
      <c r="AH27" s="193">
        <f t="shared" si="20"/>
        <v>0.981662236608597</v>
      </c>
      <c r="AI27" s="193">
        <f t="shared" si="21"/>
        <v>0.5612501438426025</v>
      </c>
    </row>
    <row r="28" spans="1:35" s="26" customFormat="1" ht="15" customHeight="1">
      <c r="A28" s="262">
        <f t="shared" si="26"/>
        <v>0.3300000000000001</v>
      </c>
      <c r="B28" s="271">
        <f t="shared" si="30"/>
        <v>-38.86110787172012</v>
      </c>
      <c r="C28" s="128">
        <f t="shared" si="31"/>
        <v>0.008893500000000002</v>
      </c>
      <c r="D28" s="143">
        <f t="shared" si="32"/>
        <v>13748.59672189648</v>
      </c>
      <c r="E28" s="143">
        <f t="shared" si="0"/>
        <v>6060.606060606058</v>
      </c>
      <c r="F28" s="105">
        <f t="shared" si="1"/>
        <v>98.88376457544308</v>
      </c>
      <c r="G28" s="105">
        <f t="shared" si="2"/>
        <v>106.62230826282561</v>
      </c>
      <c r="H28" s="50">
        <f t="shared" si="3"/>
        <v>3.6637047508435083</v>
      </c>
      <c r="I28" s="49">
        <f t="shared" si="4"/>
        <v>1.195456389349058</v>
      </c>
      <c r="J28" s="49">
        <f t="shared" si="27"/>
        <v>-0.48003262914975253</v>
      </c>
      <c r="K28" s="49">
        <f t="shared" si="5"/>
        <v>0.07276447890178621</v>
      </c>
      <c r="L28" s="49">
        <f t="shared" si="6"/>
        <v>0.6602734504274359</v>
      </c>
      <c r="M28" s="49">
        <f t="shared" si="22"/>
        <v>0.0009965318807368462</v>
      </c>
      <c r="N28" s="49">
        <f t="shared" si="23"/>
        <v>0.10989132360621956</v>
      </c>
      <c r="O28" s="49">
        <f t="shared" si="7"/>
        <v>0.7283101065820876</v>
      </c>
      <c r="P28" s="205">
        <f t="shared" si="8"/>
        <v>4.505590279746455</v>
      </c>
      <c r="Q28" s="49">
        <f t="shared" si="9"/>
        <v>0.3</v>
      </c>
      <c r="R28" s="197">
        <f t="shared" si="10"/>
        <v>0.427871580952214</v>
      </c>
      <c r="S28" s="53">
        <f t="shared" si="11"/>
        <v>7.085507601760523</v>
      </c>
      <c r="T28" s="49">
        <f t="shared" si="12"/>
        <v>2.695456389349058</v>
      </c>
      <c r="U28" s="49">
        <f t="shared" si="13"/>
        <v>5.890051212411465</v>
      </c>
      <c r="V28" s="54">
        <f t="shared" si="14"/>
        <v>-1.085507601760523</v>
      </c>
      <c r="W28" s="97">
        <f t="shared" si="15"/>
        <v>-8.628918250047725</v>
      </c>
      <c r="X28" s="25">
        <f t="shared" si="28"/>
        <v>-0.4412076649060954</v>
      </c>
      <c r="Y28" s="23">
        <f t="shared" si="16"/>
        <v>6.483617795517881</v>
      </c>
      <c r="Z28" s="23">
        <f t="shared" si="17"/>
        <v>1.978027515771426</v>
      </c>
      <c r="AA28" s="205">
        <f>ERF(AH28)+ERF(AI28)-1</f>
        <v>0.38980047753049996</v>
      </c>
      <c r="AB28" s="52">
        <f t="shared" si="18"/>
        <v>6</v>
      </c>
      <c r="AC28" s="223">
        <f t="shared" si="24"/>
        <v>0.3</v>
      </c>
      <c r="AD28" s="224">
        <f t="shared" si="29"/>
        <v>7.9</v>
      </c>
      <c r="AE28" s="201">
        <f t="shared" si="25"/>
        <v>0</v>
      </c>
      <c r="AF28" s="205">
        <f t="shared" si="19"/>
        <v>0.7561320446748625</v>
      </c>
      <c r="AG28" s="225">
        <f>IF(ABS(AF28)&lt;10,SIGN(AF28)*ERF(ABS(AF28)),SIGN(AF28))</f>
        <v>0.7150797530965483</v>
      </c>
      <c r="AH28" s="193">
        <f t="shared" si="20"/>
        <v>0.9621625745590212</v>
      </c>
      <c r="AI28" s="193">
        <f t="shared" si="21"/>
        <v>0.5501015147907038</v>
      </c>
    </row>
    <row r="29" spans="1:35" s="26" customFormat="1" ht="15" customHeight="1">
      <c r="A29" s="262">
        <f t="shared" si="26"/>
        <v>0.34000000000000014</v>
      </c>
      <c r="B29" s="271">
        <f t="shared" si="30"/>
        <v>-40.03871720116619</v>
      </c>
      <c r="C29" s="128">
        <f t="shared" si="31"/>
        <v>0.009163000000000003</v>
      </c>
      <c r="D29" s="143">
        <f t="shared" si="32"/>
        <v>13344.226230075994</v>
      </c>
      <c r="E29" s="143">
        <f t="shared" si="0"/>
        <v>5882.352941176468</v>
      </c>
      <c r="F29" s="105">
        <f t="shared" si="1"/>
        <v>101.18750170865289</v>
      </c>
      <c r="G29" s="105">
        <f t="shared" si="2"/>
        <v>108.76225551504524</v>
      </c>
      <c r="H29" s="50">
        <f t="shared" si="3"/>
        <v>3.861667753064408</v>
      </c>
      <c r="I29" s="49">
        <f t="shared" si="4"/>
        <v>1.2316823405414536</v>
      </c>
      <c r="J29" s="49">
        <f t="shared" si="27"/>
        <v>-0.4945790724573209</v>
      </c>
      <c r="K29" s="49">
        <f t="shared" si="5"/>
        <v>0.07671717572989792</v>
      </c>
      <c r="L29" s="49">
        <f t="shared" si="6"/>
        <v>0.7481397860476446</v>
      </c>
      <c r="M29" s="49">
        <f t="shared" si="22"/>
        <v>0.0009769246590050657</v>
      </c>
      <c r="N29" s="49">
        <f t="shared" si="23"/>
        <v>0.10767464843811592</v>
      </c>
      <c r="O29" s="49">
        <f t="shared" si="7"/>
        <v>0.8696849298730502</v>
      </c>
      <c r="P29" s="205">
        <f t="shared" si="8"/>
        <v>4.505590279746455</v>
      </c>
      <c r="Q29" s="49">
        <f t="shared" si="9"/>
        <v>0.3</v>
      </c>
      <c r="R29" s="197">
        <f t="shared" si="10"/>
        <v>0.4316913385489336</v>
      </c>
      <c r="S29" s="53">
        <f t="shared" si="11"/>
        <v>7.550540796513606</v>
      </c>
      <c r="T29" s="49">
        <f t="shared" si="12"/>
        <v>2.731682340541454</v>
      </c>
      <c r="U29" s="49">
        <f t="shared" si="13"/>
        <v>6.318858455972152</v>
      </c>
      <c r="V29" s="54">
        <f t="shared" si="14"/>
        <v>-1.550540796513606</v>
      </c>
      <c r="W29" s="97">
        <f t="shared" si="15"/>
        <v>-8.66896395883684</v>
      </c>
      <c r="X29" s="25">
        <f t="shared" si="28"/>
        <v>-0.49635701501339247</v>
      </c>
      <c r="Y29" s="23">
        <f t="shared" si="16"/>
        <v>6.483617795517881</v>
      </c>
      <c r="Z29" s="23">
        <f t="shared" si="17"/>
        <v>1.978027515771426</v>
      </c>
      <c r="AA29" s="205">
        <f>ERF(AH29)+ERF(AI29)-1</f>
        <v>0.37210378773964603</v>
      </c>
      <c r="AB29" s="52">
        <f t="shared" si="18"/>
        <v>6</v>
      </c>
      <c r="AC29" s="223">
        <f t="shared" si="24"/>
        <v>0.3</v>
      </c>
      <c r="AD29" s="224">
        <f t="shared" si="29"/>
        <v>7.9</v>
      </c>
      <c r="AE29" s="201">
        <f t="shared" si="25"/>
        <v>0</v>
      </c>
      <c r="AF29" s="205">
        <f t="shared" si="19"/>
        <v>0.7412547999574307</v>
      </c>
      <c r="AG29" s="225">
        <f>IF(ABS(AF29)&lt;10,SIGN(AF29)*ERF(ABS(AF29)),SIGN(AF29))</f>
        <v>0.7054959320148131</v>
      </c>
      <c r="AH29" s="193">
        <f t="shared" si="20"/>
        <v>0.9432315846869758</v>
      </c>
      <c r="AI29" s="193">
        <f t="shared" si="21"/>
        <v>0.5392780152278854</v>
      </c>
    </row>
    <row r="30" spans="1:35" s="20" customFormat="1" ht="15" customHeight="1">
      <c r="A30" s="261">
        <f t="shared" si="26"/>
        <v>0.35000000000000014</v>
      </c>
      <c r="B30" s="270">
        <f t="shared" si="30"/>
        <v>-41.21632653061226</v>
      </c>
      <c r="C30" s="127">
        <f t="shared" si="31"/>
        <v>0.009432500000000003</v>
      </c>
      <c r="D30" s="142">
        <f t="shared" si="32"/>
        <v>12962.962623502393</v>
      </c>
      <c r="E30" s="142">
        <f t="shared" si="0"/>
        <v>5714.285714285712</v>
      </c>
      <c r="F30" s="104">
        <f t="shared" si="1"/>
        <v>103.50642812333682</v>
      </c>
      <c r="G30" s="104">
        <f t="shared" si="2"/>
        <v>110.92293895102513</v>
      </c>
      <c r="H30" s="98">
        <f t="shared" si="3"/>
        <v>4.067359678741122</v>
      </c>
      <c r="I30" s="95">
        <f t="shared" si="4"/>
        <v>1.2679082917338493</v>
      </c>
      <c r="J30" s="95">
        <f t="shared" si="27"/>
        <v>-0.5091255157648892</v>
      </c>
      <c r="K30" s="95">
        <f t="shared" si="5"/>
        <v>0.08072971288002902</v>
      </c>
      <c r="L30" s="95">
        <f t="shared" si="6"/>
        <v>0.8461969530105233</v>
      </c>
      <c r="M30" s="95">
        <f t="shared" si="22"/>
        <v>0.0009578950069883217</v>
      </c>
      <c r="N30" s="95">
        <f t="shared" si="23"/>
        <v>0.10552543149982188</v>
      </c>
      <c r="O30" s="95">
        <f t="shared" si="7"/>
        <v>1.055082814546081</v>
      </c>
      <c r="P30" s="207">
        <f t="shared" si="8"/>
        <v>4.505590279746455</v>
      </c>
      <c r="Q30" s="95">
        <f t="shared" si="9"/>
        <v>0.3</v>
      </c>
      <c r="R30" s="196">
        <f t="shared" si="10"/>
        <v>0.436148462255912</v>
      </c>
      <c r="S30" s="96">
        <f t="shared" si="11"/>
        <v>8.078221631787308</v>
      </c>
      <c r="T30" s="95">
        <f t="shared" si="12"/>
        <v>2.7679082917338493</v>
      </c>
      <c r="U30" s="95">
        <f t="shared" si="13"/>
        <v>6.810313340053458</v>
      </c>
      <c r="V30" s="100">
        <f t="shared" si="14"/>
        <v>-2.078221631787308</v>
      </c>
      <c r="W30" s="101">
        <f t="shared" si="15"/>
        <v>-8.709647033736214</v>
      </c>
      <c r="X30" s="27">
        <f t="shared" si="28"/>
        <v>-0.5713413018623696</v>
      </c>
      <c r="Y30" s="18">
        <f t="shared" si="16"/>
        <v>6.483617795517881</v>
      </c>
      <c r="Z30" s="18">
        <f t="shared" si="17"/>
        <v>1.978027515771426</v>
      </c>
      <c r="AA30" s="207">
        <f>ERF(AH30)+ERF(AI30)-1</f>
        <v>0.3545268940445969</v>
      </c>
      <c r="AB30" s="99">
        <f t="shared" si="18"/>
        <v>6</v>
      </c>
      <c r="AC30" s="226">
        <f t="shared" si="24"/>
        <v>0.3</v>
      </c>
      <c r="AD30" s="227">
        <f t="shared" si="29"/>
        <v>7.9</v>
      </c>
      <c r="AE30" s="228">
        <f t="shared" si="25"/>
        <v>0</v>
      </c>
      <c r="AF30" s="207">
        <f t="shared" si="19"/>
        <v>0.7268157940741142</v>
      </c>
      <c r="AG30" s="229">
        <f>IF(ABS(AF30)&lt;10,SIGN(AF30)*ERF(ABS(AF30)),SIGN(AF30))</f>
        <v>0.6959900557572005</v>
      </c>
      <c r="AH30" s="191">
        <f t="shared" si="20"/>
        <v>0.9248582447755077</v>
      </c>
      <c r="AI30" s="191">
        <f t="shared" si="21"/>
        <v>0.5287733433727206</v>
      </c>
    </row>
    <row r="31" spans="1:35" s="26" customFormat="1" ht="15" customHeight="1">
      <c r="A31" s="262">
        <f t="shared" si="26"/>
        <v>0.36000000000000015</v>
      </c>
      <c r="B31" s="271">
        <f t="shared" si="30"/>
        <v>-42.39393586005832</v>
      </c>
      <c r="C31" s="128">
        <f t="shared" si="31"/>
        <v>0.009702000000000004</v>
      </c>
      <c r="D31" s="143">
        <f t="shared" si="32"/>
        <v>12602.880328405106</v>
      </c>
      <c r="E31" s="143">
        <f t="shared" si="0"/>
        <v>5555.555555555553</v>
      </c>
      <c r="F31" s="105">
        <f t="shared" si="1"/>
        <v>105.83954544049323</v>
      </c>
      <c r="G31" s="105">
        <f t="shared" si="2"/>
        <v>113.10317016658547</v>
      </c>
      <c r="H31" s="50">
        <f t="shared" si="3"/>
        <v>4.281198504177795</v>
      </c>
      <c r="I31" s="49">
        <f t="shared" si="4"/>
        <v>1.304134242926245</v>
      </c>
      <c r="J31" s="49">
        <f t="shared" si="27"/>
        <v>-0.5236719590724574</v>
      </c>
      <c r="K31" s="49">
        <f t="shared" si="5"/>
        <v>0.08479785214116128</v>
      </c>
      <c r="L31" s="49">
        <f t="shared" si="6"/>
        <v>0.9558327552430118</v>
      </c>
      <c r="M31" s="49">
        <f t="shared" si="22"/>
        <v>0.0009394301611985055</v>
      </c>
      <c r="N31" s="49">
        <f t="shared" si="23"/>
        <v>0.1034420354677175</v>
      </c>
      <c r="O31" s="49">
        <f t="shared" si="7"/>
        <v>1.3072760452712502</v>
      </c>
      <c r="P31" s="205">
        <f t="shared" si="8"/>
        <v>4.505590279746455</v>
      </c>
      <c r="Q31" s="49">
        <f t="shared" si="9"/>
        <v>0.3</v>
      </c>
      <c r="R31" s="197">
        <f t="shared" si="10"/>
        <v>0.44133981715232284</v>
      </c>
      <c r="S31" s="53">
        <f t="shared" si="11"/>
        <v>8.693223400238345</v>
      </c>
      <c r="T31" s="49">
        <f t="shared" si="12"/>
        <v>2.804134242926245</v>
      </c>
      <c r="U31" s="49">
        <f t="shared" si="13"/>
        <v>7.3890891573121005</v>
      </c>
      <c r="V31" s="54">
        <f t="shared" si="14"/>
        <v>-2.6932234002383453</v>
      </c>
      <c r="W31" s="97">
        <f t="shared" si="15"/>
        <v>-8.751064339825021</v>
      </c>
      <c r="X31" s="25">
        <f t="shared" si="28"/>
        <v>-0.6811833008061505</v>
      </c>
      <c r="Y31" s="23">
        <f t="shared" si="16"/>
        <v>6.483617795517881</v>
      </c>
      <c r="Z31" s="23">
        <f t="shared" si="17"/>
        <v>1.978027515771426</v>
      </c>
      <c r="AA31" s="205">
        <f>ERF(AH31)+ERF(AI31)-1</f>
        <v>0.3370902319150475</v>
      </c>
      <c r="AB31" s="52">
        <f t="shared" si="18"/>
        <v>6</v>
      </c>
      <c r="AC31" s="223">
        <f t="shared" si="24"/>
        <v>0.3</v>
      </c>
      <c r="AD31" s="224">
        <f t="shared" si="29"/>
        <v>7.9</v>
      </c>
      <c r="AE31" s="201">
        <f t="shared" si="25"/>
        <v>0</v>
      </c>
      <c r="AF31" s="205">
        <f t="shared" si="19"/>
        <v>0.7128053425556579</v>
      </c>
      <c r="AG31" s="225">
        <f>IF(ABS(AF31)&lt;10,SIGN(AF31)*ERF(ABS(AF31)),SIGN(AF31))</f>
        <v>0.686573583867153</v>
      </c>
      <c r="AH31" s="193">
        <f t="shared" si="20"/>
        <v>0.9070302315354011</v>
      </c>
      <c r="AI31" s="193">
        <f t="shared" si="21"/>
        <v>0.5185804535759145</v>
      </c>
    </row>
    <row r="32" spans="1:35" s="26" customFormat="1" ht="15" customHeight="1">
      <c r="A32" s="262">
        <f t="shared" si="26"/>
        <v>0.37000000000000016</v>
      </c>
      <c r="B32" s="271">
        <f t="shared" si="30"/>
        <v>-43.571545189504384</v>
      </c>
      <c r="C32" s="128">
        <f t="shared" si="31"/>
        <v>0.009971500000000003</v>
      </c>
      <c r="D32" s="143">
        <f t="shared" si="32"/>
        <v>12262.261941150913</v>
      </c>
      <c r="E32" s="143">
        <f t="shared" si="0"/>
        <v>5405.405405405403</v>
      </c>
      <c r="F32" s="105">
        <f t="shared" si="1"/>
        <v>108.18593554910385</v>
      </c>
      <c r="G32" s="105">
        <f t="shared" si="2"/>
        <v>115.3018402859044</v>
      </c>
      <c r="H32" s="50">
        <f t="shared" si="3"/>
        <v>4.503669771830387</v>
      </c>
      <c r="I32" s="49">
        <f t="shared" si="4"/>
        <v>1.3403601941186407</v>
      </c>
      <c r="J32" s="49">
        <f t="shared" si="27"/>
        <v>-0.5382184023800257</v>
      </c>
      <c r="K32" s="49">
        <f t="shared" si="5"/>
        <v>0.08891734755455132</v>
      </c>
      <c r="L32" s="49">
        <f t="shared" si="6"/>
        <v>1.0787496330866537</v>
      </c>
      <c r="M32" s="49">
        <f t="shared" si="22"/>
        <v>0.0009215163358901455</v>
      </c>
      <c r="N32" s="49">
        <f t="shared" si="23"/>
        <v>0.1014227198121854</v>
      </c>
      <c r="O32" s="49">
        <f t="shared" si="7"/>
        <v>1.6690033870653298</v>
      </c>
      <c r="P32" s="205">
        <f t="shared" si="8"/>
        <v>4.505590279746455</v>
      </c>
      <c r="Q32" s="49">
        <f t="shared" si="9"/>
        <v>0.3</v>
      </c>
      <c r="R32" s="197">
        <f t="shared" si="10"/>
        <v>0.44738252748641205</v>
      </c>
      <c r="S32" s="53">
        <f t="shared" si="11"/>
        <v>9.440588233399609</v>
      </c>
      <c r="T32" s="49">
        <f t="shared" si="12"/>
        <v>2.8403601941186407</v>
      </c>
      <c r="U32" s="49">
        <f t="shared" si="13"/>
        <v>8.100228039280967</v>
      </c>
      <c r="V32" s="54">
        <f t="shared" si="14"/>
        <v>-3.440588233399609</v>
      </c>
      <c r="W32" s="97">
        <f t="shared" si="15"/>
        <v>-8.793333001351506</v>
      </c>
      <c r="X32" s="25">
        <f t="shared" si="28"/>
        <v>-0.8619252675441693</v>
      </c>
      <c r="Y32" s="23">
        <f t="shared" si="16"/>
        <v>6.483617795517881</v>
      </c>
      <c r="Z32" s="23">
        <f t="shared" si="17"/>
        <v>1.978027515771426</v>
      </c>
      <c r="AA32" s="205">
        <f>ERF(AH32)+ERF(AI32)-1</f>
        <v>0.31981201085123323</v>
      </c>
      <c r="AB32" s="52">
        <f t="shared" si="18"/>
        <v>6</v>
      </c>
      <c r="AC32" s="223">
        <f t="shared" si="24"/>
        <v>0.3</v>
      </c>
      <c r="AD32" s="224">
        <f t="shared" si="29"/>
        <v>7.9</v>
      </c>
      <c r="AE32" s="201">
        <f t="shared" si="25"/>
        <v>0</v>
      </c>
      <c r="AF32" s="205">
        <f t="shared" si="19"/>
        <v>0.6992129852812041</v>
      </c>
      <c r="AG32" s="225">
        <f>IF(ABS(AF32)&lt;10,SIGN(AF32)*ERF(ABS(AF32)),SIGN(AF32))</f>
        <v>0.6772568499535557</v>
      </c>
      <c r="AH32" s="193">
        <f t="shared" si="20"/>
        <v>0.8897342346766275</v>
      </c>
      <c r="AI32" s="193">
        <f t="shared" si="21"/>
        <v>0.5086917358857805</v>
      </c>
    </row>
    <row r="33" spans="1:35" s="26" customFormat="1" ht="15" customHeight="1">
      <c r="A33" s="262">
        <f t="shared" si="26"/>
        <v>0.38000000000000017</v>
      </c>
      <c r="B33" s="271">
        <f t="shared" si="30"/>
        <v>-44.74915451895045</v>
      </c>
      <c r="C33" s="128">
        <f t="shared" si="31"/>
        <v>0.010241000000000004</v>
      </c>
      <c r="D33" s="143">
        <f t="shared" si="32"/>
        <v>11939.570837436415</v>
      </c>
      <c r="E33" s="143">
        <f t="shared" si="0"/>
        <v>5263.15789473684</v>
      </c>
      <c r="F33" s="105">
        <f t="shared" si="1"/>
        <v>110.54475327940875</v>
      </c>
      <c r="G33" s="105">
        <f t="shared" si="2"/>
        <v>117.51791438026251</v>
      </c>
      <c r="H33" s="50">
        <f t="shared" si="3"/>
        <v>4.735365723097247</v>
      </c>
      <c r="I33" s="49">
        <f t="shared" si="4"/>
        <v>1.3765861453110364</v>
      </c>
      <c r="J33" s="49">
        <f t="shared" si="27"/>
        <v>-0.5527648456875939</v>
      </c>
      <c r="K33" s="49">
        <f t="shared" si="5"/>
        <v>0.0930839526607904</v>
      </c>
      <c r="L33" s="49">
        <f t="shared" si="6"/>
        <v>1.2170728478555513</v>
      </c>
      <c r="M33" s="49">
        <f t="shared" si="22"/>
        <v>0.0009041389982283656</v>
      </c>
      <c r="N33" s="49">
        <f t="shared" si="23"/>
        <v>0.0994656717915378</v>
      </c>
      <c r="O33" s="49">
        <f t="shared" si="7"/>
        <v>2.2341947169810994</v>
      </c>
      <c r="P33" s="205">
        <f t="shared" si="8"/>
        <v>4.505590279746455</v>
      </c>
      <c r="Q33" s="49">
        <f t="shared" si="9"/>
        <v>0.3</v>
      </c>
      <c r="R33" s="197">
        <f t="shared" si="10"/>
        <v>0.4543888302902124</v>
      </c>
      <c r="S33" s="53">
        <f t="shared" si="11"/>
        <v>10.417073935326684</v>
      </c>
      <c r="T33" s="49">
        <f t="shared" si="12"/>
        <v>2.8765861453110366</v>
      </c>
      <c r="U33" s="49">
        <f t="shared" si="13"/>
        <v>9.040487790015648</v>
      </c>
      <c r="V33" s="54">
        <f t="shared" si="14"/>
        <v>-4.417073935326684</v>
      </c>
      <c r="W33" s="97">
        <f t="shared" si="15"/>
        <v>-8.836565255347702</v>
      </c>
      <c r="X33" s="25">
        <f t="shared" si="28"/>
        <v>-1.2314669394398443</v>
      </c>
      <c r="Y33" s="23">
        <f t="shared" si="16"/>
        <v>6.483617795517881</v>
      </c>
      <c r="Z33" s="23">
        <f t="shared" si="17"/>
        <v>1.978027515771426</v>
      </c>
      <c r="AA33" s="205">
        <f>ERF(AH33)+ERF(AI33)-1</f>
        <v>0.3027084502492752</v>
      </c>
      <c r="AB33" s="52">
        <f t="shared" si="18"/>
        <v>6</v>
      </c>
      <c r="AC33" s="223">
        <f t="shared" si="24"/>
        <v>0.3</v>
      </c>
      <c r="AD33" s="224">
        <f t="shared" si="29"/>
        <v>7.9</v>
      </c>
      <c r="AE33" s="201">
        <f t="shared" si="25"/>
        <v>0</v>
      </c>
      <c r="AF33" s="205">
        <f t="shared" si="19"/>
        <v>0.686027695265704</v>
      </c>
      <c r="AG33" s="225">
        <f>IF(ABS(AF33)&lt;10,SIGN(AF33)*ERF(ABS(AF33)),SIGN(AF33))</f>
        <v>0.6680480324591302</v>
      </c>
      <c r="AH33" s="193">
        <f t="shared" si="20"/>
        <v>0.8729562225860592</v>
      </c>
      <c r="AI33" s="193">
        <f t="shared" si="21"/>
        <v>0.4990991679453486</v>
      </c>
    </row>
    <row r="34" spans="1:35" s="26" customFormat="1" ht="15" customHeight="1">
      <c r="A34" s="262">
        <f t="shared" si="26"/>
        <v>0.3900000000000002</v>
      </c>
      <c r="B34" s="271">
        <f t="shared" si="30"/>
        <v>-45.92676384839652</v>
      </c>
      <c r="C34" s="128">
        <f t="shared" si="31"/>
        <v>0.010510500000000004</v>
      </c>
      <c r="D34" s="143">
        <f t="shared" si="32"/>
        <v>11633.427995450864</v>
      </c>
      <c r="E34" s="143">
        <f t="shared" si="0"/>
        <v>5128.205128205126</v>
      </c>
      <c r="F34" s="105">
        <f t="shared" si="1"/>
        <v>112.91521978883861</v>
      </c>
      <c r="G34" s="105">
        <f t="shared" si="2"/>
        <v>119.75042623157168</v>
      </c>
      <c r="H34" s="50">
        <f t="shared" si="3"/>
        <v>4.976959893516122</v>
      </c>
      <c r="I34" s="49">
        <f t="shared" si="4"/>
        <v>1.412812096503432</v>
      </c>
      <c r="J34" s="49">
        <f t="shared" si="27"/>
        <v>-0.5673112889951623</v>
      </c>
      <c r="K34" s="49">
        <f t="shared" si="5"/>
        <v>0.09729342763836109</v>
      </c>
      <c r="L34" s="49">
        <f t="shared" si="6"/>
        <v>1.3735089418529254</v>
      </c>
      <c r="M34" s="49">
        <f t="shared" si="22"/>
        <v>0.0008872830997376806</v>
      </c>
      <c r="N34" s="49">
        <f t="shared" si="23"/>
        <v>0.09756903233330008</v>
      </c>
      <c r="O34" s="49">
        <f t="shared" si="7"/>
        <v>3.280158076211857</v>
      </c>
      <c r="P34" s="205">
        <f t="shared" si="8"/>
        <v>4.505590279746455</v>
      </c>
      <c r="Q34" s="49">
        <f t="shared" si="9"/>
        <v>0.3</v>
      </c>
      <c r="R34" s="197">
        <f t="shared" si="10"/>
        <v>0.46251407186166027</v>
      </c>
      <c r="S34" s="53">
        <f t="shared" si="11"/>
        <v>11.903522112279298</v>
      </c>
      <c r="T34" s="49">
        <f t="shared" si="12"/>
        <v>2.912812096503432</v>
      </c>
      <c r="U34" s="49">
        <f t="shared" si="13"/>
        <v>10.490710015775866</v>
      </c>
      <c r="V34" s="54">
        <f t="shared" si="14"/>
        <v>-5.903522112279298</v>
      </c>
      <c r="W34" s="97">
        <f t="shared" si="15"/>
        <v>-8.880916448111545</v>
      </c>
      <c r="X34" s="25">
        <f t="shared" si="28"/>
        <v>-2.792175046352316</v>
      </c>
      <c r="Y34" s="23">
        <f t="shared" si="16"/>
        <v>6.483617795517881</v>
      </c>
      <c r="Z34" s="23">
        <f t="shared" si="17"/>
        <v>1.978027515771426</v>
      </c>
      <c r="AA34" s="205">
        <f>ERF(AH34)+ERF(AI34)-1</f>
        <v>0.2857936686985907</v>
      </c>
      <c r="AB34" s="52">
        <f t="shared" si="18"/>
        <v>6</v>
      </c>
      <c r="AC34" s="223">
        <f t="shared" si="24"/>
        <v>0.3</v>
      </c>
      <c r="AD34" s="224">
        <f t="shared" si="29"/>
        <v>7.9</v>
      </c>
      <c r="AE34" s="201">
        <f t="shared" si="25"/>
        <v>0</v>
      </c>
      <c r="AF34" s="205">
        <f t="shared" si="19"/>
        <v>0.6732380542748211</v>
      </c>
      <c r="AG34" s="225">
        <f>IF(ABS(AF34)&lt;10,SIGN(AF34)*ERF(ABS(AF34)),SIGN(AF34))</f>
        <v>0.6589549347018299</v>
      </c>
      <c r="AH34" s="193">
        <f t="shared" si="20"/>
        <v>0.8566816657938459</v>
      </c>
      <c r="AI34" s="193">
        <f t="shared" si="21"/>
        <v>0.4897944427557962</v>
      </c>
    </row>
    <row r="35" spans="1:35" s="78" customFormat="1" ht="15" customHeight="1">
      <c r="A35" s="263">
        <f t="shared" si="26"/>
        <v>0.4000000000000002</v>
      </c>
      <c r="B35" s="272">
        <f>A35*$B$3</f>
        <v>-47.10437317784258</v>
      </c>
      <c r="C35" s="129">
        <f>A35*$Z$4</f>
        <v>0.010780000000000005</v>
      </c>
      <c r="D35" s="144">
        <f t="shared" si="32"/>
        <v>11342.592295564595</v>
      </c>
      <c r="E35" s="144">
        <f t="shared" si="0"/>
        <v>4999.999999999997</v>
      </c>
      <c r="F35" s="106">
        <f t="shared" si="1"/>
        <v>115.29661659261296</v>
      </c>
      <c r="G35" s="106">
        <f t="shared" si="2"/>
        <v>121.99847343465144</v>
      </c>
      <c r="H35" s="75">
        <f t="shared" si="3"/>
        <v>5.229252581939463</v>
      </c>
      <c r="I35" s="74">
        <f t="shared" si="4"/>
        <v>1.4490380476958278</v>
      </c>
      <c r="J35" s="74">
        <f t="shared" si="27"/>
        <v>-0.5818577323027305</v>
      </c>
      <c r="K35" s="74">
        <f t="shared" si="5"/>
        <v>0.10154154631737491</v>
      </c>
      <c r="L35" s="74">
        <f t="shared" si="6"/>
        <v>1.5515854303395766</v>
      </c>
      <c r="M35" s="74">
        <f t="shared" si="22"/>
        <v>0.000870933269821377</v>
      </c>
      <c r="N35" s="74">
        <f t="shared" si="23"/>
        <v>0.09573091750379278</v>
      </c>
      <c r="O35" s="74">
        <f t="shared" si="7"/>
        <v>6.903882751628909</v>
      </c>
      <c r="P35" s="155">
        <f t="shared" si="8"/>
        <v>4.505590279746455</v>
      </c>
      <c r="Q35" s="74">
        <f t="shared" si="9"/>
        <v>0.3</v>
      </c>
      <c r="R35" s="195">
        <f t="shared" si="10"/>
        <v>0.4719342989237445</v>
      </c>
      <c r="S35" s="96">
        <f t="shared" si="11"/>
        <v>16.001424028031316</v>
      </c>
      <c r="T35" s="74">
        <f t="shared" si="12"/>
        <v>2.9490380476958276</v>
      </c>
      <c r="U35" s="74">
        <f t="shared" si="13"/>
        <v>14.552385980335488</v>
      </c>
      <c r="V35" s="100">
        <f t="shared" si="14"/>
        <v>-10.001424028031316</v>
      </c>
      <c r="W35" s="101">
        <f t="shared" si="15"/>
        <v>-8.926562626366024</v>
      </c>
      <c r="X35" s="77"/>
      <c r="Y35" s="74">
        <f t="shared" si="16"/>
        <v>6.483617795517881</v>
      </c>
      <c r="Z35" s="74">
        <f t="shared" si="17"/>
        <v>1.978027515771426</v>
      </c>
      <c r="AA35" s="155">
        <f>ERF(AH35)+ERF(AI35)-1</f>
        <v>0.2690799336448393</v>
      </c>
      <c r="AB35" s="76">
        <f t="shared" si="18"/>
        <v>6</v>
      </c>
      <c r="AC35" s="186">
        <f t="shared" si="24"/>
        <v>0.3</v>
      </c>
      <c r="AD35" s="187">
        <f>ROUNDUP(E10,0)-0.1</f>
        <v>7.9</v>
      </c>
      <c r="AE35" s="200">
        <f t="shared" si="25"/>
        <v>0</v>
      </c>
      <c r="AF35" s="155">
        <f t="shared" si="19"/>
        <v>0.6608323996603799</v>
      </c>
      <c r="AG35" s="179">
        <f>IF(ABS(AF35)&lt;10,SIGN(AF35)*ERF(ABS(AF35)),SIGN(AF35))</f>
        <v>0.649983935869023</v>
      </c>
      <c r="AH35" s="190">
        <f t="shared" si="20"/>
        <v>0.8408957238185215</v>
      </c>
      <c r="AI35" s="190">
        <f t="shared" si="21"/>
        <v>0.4807690755022382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5"/>
      <c r="S36" s="13"/>
      <c r="U36" s="13"/>
      <c r="V36" s="13"/>
      <c r="W36" s="14"/>
      <c r="AA36" s="5"/>
      <c r="AB36" s="6"/>
      <c r="AE36" s="201">
        <f>SUM(AE15:AE35)</f>
        <v>0.05986887636784122</v>
      </c>
    </row>
    <row r="37" spans="1:27" s="26" customFormat="1" ht="15" customHeight="1">
      <c r="A37" s="79" t="s">
        <v>60</v>
      </c>
      <c r="B37" s="22"/>
      <c r="C37" s="22"/>
      <c r="D37" s="21"/>
      <c r="E37" s="22"/>
      <c r="F37" s="22"/>
      <c r="G37" s="28"/>
      <c r="W37" s="31"/>
      <c r="X37" s="31"/>
      <c r="AA37" s="158"/>
    </row>
    <row r="38" spans="1:28" s="26" customFormat="1" ht="15" customHeight="1">
      <c r="A38" s="29" t="s">
        <v>108</v>
      </c>
      <c r="B38" s="22"/>
      <c r="C38" s="22"/>
      <c r="D38" s="21"/>
      <c r="E38" s="22"/>
      <c r="F38" s="22"/>
      <c r="G38" s="28"/>
      <c r="K38" s="23"/>
      <c r="L38" s="22"/>
      <c r="M38" s="23"/>
      <c r="N38" s="23"/>
      <c r="O38" s="23"/>
      <c r="P38" s="23"/>
      <c r="Q38" s="23"/>
      <c r="R38" s="59"/>
      <c r="S38" s="23"/>
      <c r="T38" s="30"/>
      <c r="U38" s="23"/>
      <c r="W38" s="31"/>
      <c r="X38" s="31"/>
      <c r="AA38" s="158"/>
      <c r="AB38" s="24"/>
    </row>
    <row r="39" spans="1:28" s="26" customFormat="1" ht="15" customHeight="1">
      <c r="A39" s="23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22"/>
      <c r="M39" s="23"/>
      <c r="N39" s="23"/>
      <c r="O39" s="23"/>
      <c r="P39" s="23"/>
      <c r="Q39" s="23"/>
      <c r="R39" s="59"/>
      <c r="S39" s="23"/>
      <c r="T39" s="30"/>
      <c r="U39" s="23"/>
      <c r="W39" s="31"/>
      <c r="X39" s="31"/>
      <c r="AA39" s="158"/>
      <c r="AB39" s="24"/>
    </row>
    <row r="40" spans="1:28" s="26" customFormat="1" ht="15" customHeight="1">
      <c r="A40" s="29"/>
      <c r="B40" s="29"/>
      <c r="C40" s="22"/>
      <c r="D40" s="21"/>
      <c r="E40" s="22"/>
      <c r="F40" s="22"/>
      <c r="G40" s="28"/>
      <c r="H40" s="23"/>
      <c r="I40" s="23"/>
      <c r="J40" s="23"/>
      <c r="K40" s="23"/>
      <c r="L40" s="22"/>
      <c r="M40" s="23"/>
      <c r="N40" s="23"/>
      <c r="O40" s="23"/>
      <c r="P40" s="23"/>
      <c r="Q40" s="23"/>
      <c r="R40" s="59"/>
      <c r="S40" s="23"/>
      <c r="T40" s="30"/>
      <c r="U40" s="23"/>
      <c r="W40" s="31"/>
      <c r="X40" s="31"/>
      <c r="AA40" s="158"/>
      <c r="AB40" s="24"/>
    </row>
    <row r="41" spans="1:28" s="26" customFormat="1" ht="15" customHeight="1">
      <c r="A41" s="29"/>
      <c r="B41" s="29"/>
      <c r="C41" s="22"/>
      <c r="D41" s="21"/>
      <c r="E41" s="22"/>
      <c r="F41" s="22"/>
      <c r="G41" s="28"/>
      <c r="H41" s="23"/>
      <c r="I41" s="23"/>
      <c r="J41" s="23"/>
      <c r="K41" s="23"/>
      <c r="L41" s="22"/>
      <c r="M41" s="23"/>
      <c r="N41" s="23"/>
      <c r="O41" s="23"/>
      <c r="P41" s="23"/>
      <c r="Q41" s="23"/>
      <c r="R41" s="59"/>
      <c r="S41" s="23"/>
      <c r="T41" s="30"/>
      <c r="U41" s="23"/>
      <c r="W41" s="31"/>
      <c r="X41" s="31"/>
      <c r="AA41" s="158"/>
      <c r="AB41" s="24"/>
    </row>
    <row r="42" spans="1:28" s="26" customFormat="1" ht="15" customHeight="1">
      <c r="A42" s="29"/>
      <c r="B42" s="29"/>
      <c r="C42" s="22"/>
      <c r="D42" s="21"/>
      <c r="E42" s="22"/>
      <c r="F42" s="22"/>
      <c r="G42" s="28"/>
      <c r="H42" s="23"/>
      <c r="I42" s="23"/>
      <c r="J42" s="23"/>
      <c r="K42" s="23"/>
      <c r="L42" s="22"/>
      <c r="M42" s="23"/>
      <c r="N42" s="23"/>
      <c r="O42" s="23"/>
      <c r="P42" s="23"/>
      <c r="Q42" s="23"/>
      <c r="R42" s="59"/>
      <c r="S42" s="23"/>
      <c r="T42" s="30"/>
      <c r="U42" s="23"/>
      <c r="W42" s="31"/>
      <c r="X42" s="31"/>
      <c r="AA42" s="158"/>
      <c r="AB42" s="24"/>
    </row>
    <row r="43" spans="1:28" s="26" customFormat="1" ht="15" customHeight="1">
      <c r="A43" s="28"/>
      <c r="D43" s="21"/>
      <c r="E43" s="22"/>
      <c r="F43" s="22"/>
      <c r="G43" s="28"/>
      <c r="H43" s="23"/>
      <c r="I43" s="23"/>
      <c r="J43" s="23"/>
      <c r="K43" s="23"/>
      <c r="L43" s="22"/>
      <c r="M43" s="23"/>
      <c r="N43" s="23"/>
      <c r="O43" s="23"/>
      <c r="P43" s="23"/>
      <c r="Q43" s="23"/>
      <c r="R43" s="59"/>
      <c r="S43" s="23"/>
      <c r="T43" s="30"/>
      <c r="U43" s="23"/>
      <c r="W43" s="31"/>
      <c r="X43" s="31"/>
      <c r="AA43" s="158"/>
      <c r="AB43" s="24"/>
    </row>
    <row r="44" spans="1:28" s="26" customFormat="1" ht="15" customHeight="1">
      <c r="A44" s="28"/>
      <c r="B44" s="22"/>
      <c r="D44" s="21"/>
      <c r="E44" s="22"/>
      <c r="F44" s="22"/>
      <c r="G44" s="28"/>
      <c r="H44" s="23"/>
      <c r="I44" s="23"/>
      <c r="J44" s="23"/>
      <c r="K44" s="23"/>
      <c r="L44" s="22"/>
      <c r="M44" s="23"/>
      <c r="N44" s="23"/>
      <c r="O44" s="23"/>
      <c r="P44" s="23"/>
      <c r="Q44" s="23"/>
      <c r="R44" s="59"/>
      <c r="S44" s="23"/>
      <c r="T44" s="30"/>
      <c r="U44" s="23"/>
      <c r="W44" s="31"/>
      <c r="X44" s="31"/>
      <c r="AA44" s="158"/>
      <c r="AB44" s="24"/>
    </row>
    <row r="45" spans="1:28" s="26" customFormat="1" ht="15" customHeight="1">
      <c r="A45" s="28"/>
      <c r="B45" s="22"/>
      <c r="D45" s="21"/>
      <c r="E45" s="22"/>
      <c r="F45" s="22"/>
      <c r="G45" s="28"/>
      <c r="H45" s="23"/>
      <c r="I45" s="23"/>
      <c r="J45" s="23"/>
      <c r="K45" s="23"/>
      <c r="L45" s="22"/>
      <c r="M45" s="23"/>
      <c r="N45" s="23"/>
      <c r="O45" s="23"/>
      <c r="P45" s="23"/>
      <c r="Q45" s="23"/>
      <c r="R45" s="59"/>
      <c r="S45" s="23"/>
      <c r="T45" s="30"/>
      <c r="U45" s="23"/>
      <c r="W45" s="31"/>
      <c r="X45" s="31"/>
      <c r="AA45" s="158"/>
      <c r="AB45" s="24"/>
    </row>
    <row r="46" spans="1:28" ht="15" customHeight="1">
      <c r="A46" s="28"/>
      <c r="B46" s="22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5"/>
      <c r="S46" s="4"/>
      <c r="U46" s="4"/>
      <c r="AB46" s="6"/>
    </row>
    <row r="47" spans="1:28" ht="15" customHeight="1">
      <c r="A47" s="2"/>
      <c r="B47" s="22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5"/>
      <c r="S47" s="4"/>
      <c r="U47" s="4"/>
      <c r="AB47" s="6"/>
    </row>
    <row r="48" spans="1:28" ht="15" customHeight="1">
      <c r="A48" s="2"/>
      <c r="B48" s="22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0"/>
      <c r="S48" s="4"/>
      <c r="U48" s="4"/>
      <c r="AB48" s="6"/>
    </row>
    <row r="49" spans="1:28" ht="15" customHeight="1">
      <c r="A49" s="24"/>
      <c r="B49" s="22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5"/>
      <c r="S49" s="4"/>
      <c r="U49" s="4"/>
      <c r="AB49" s="6"/>
    </row>
    <row r="50" spans="1:16" ht="15" customHeight="1">
      <c r="A50" s="15"/>
      <c r="B50" s="14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4"/>
      <c r="B51" s="14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4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V2:W2"/>
  </mergeCells>
  <printOptions horizontalCentered="1"/>
  <pageMargins left="0.5" right="0.5" top="0.5" bottom="0.6" header="0.3" footer="0.4"/>
  <pageSetup fitToHeight="1" fitToWidth="1" horizontalDpi="600" verticalDpi="600" orientation="landscape" scale="70" r:id="rId2"/>
  <headerFooter alignWithMargins="0">
    <oddHeader xml:space="preserve">&amp;CSpreadsheet by Agilent Technologies&amp;R </oddHeader>
    <oddFooter>&amp;L&amp;F tab &amp;A page &amp;P of &amp;N&amp;RPrinted &amp;T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showGridLines="0" showOutlineSymbols="0" zoomScale="70" zoomScaleNormal="70" workbookViewId="0" topLeftCell="A1">
      <selection activeCell="T1" sqref="T1"/>
    </sheetView>
  </sheetViews>
  <sheetFormatPr defaultColWidth="9.140625" defaultRowHeight="12.75"/>
  <cols>
    <col min="1" max="1" width="13.28125" style="5" customWidth="1"/>
    <col min="2" max="2" width="7.7109375" style="5" customWidth="1"/>
    <col min="3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6" customWidth="1"/>
    <col min="19" max="19" width="6.57421875" style="5" customWidth="1"/>
    <col min="20" max="20" width="7.28125" style="7" customWidth="1"/>
    <col min="21" max="21" width="7.421875" style="5" customWidth="1"/>
    <col min="22" max="22" width="7.7109375" style="5" customWidth="1"/>
    <col min="23" max="23" width="11.140625" style="10" customWidth="1"/>
    <col min="24" max="24" width="8.8515625" style="10" customWidth="1"/>
    <col min="25" max="25" width="8.140625" style="5" customWidth="1"/>
    <col min="26" max="26" width="7.57421875" style="5" customWidth="1"/>
    <col min="27" max="27" width="10.00390625" style="157" customWidth="1"/>
    <col min="28" max="28" width="6.00390625" style="5" customWidth="1"/>
    <col min="29" max="29" width="7.140625" style="5" customWidth="1"/>
    <col min="30" max="30" width="7.00390625" style="5" customWidth="1"/>
    <col min="31" max="32" width="10.00390625" style="5" customWidth="1"/>
    <col min="33" max="16384" width="11.140625" style="5" customWidth="1"/>
  </cols>
  <sheetData>
    <row r="1" spans="1:32" s="126" customFormat="1" ht="15">
      <c r="A1" s="123" t="s">
        <v>109</v>
      </c>
      <c r="B1" s="110"/>
      <c r="C1" s="110"/>
      <c r="D1" s="110"/>
      <c r="E1" s="114"/>
      <c r="F1" s="114"/>
      <c r="G1" s="114"/>
      <c r="H1" s="114"/>
      <c r="I1" s="114"/>
      <c r="J1" s="114"/>
      <c r="K1" s="114"/>
      <c r="L1" s="124" t="s">
        <v>66</v>
      </c>
      <c r="M1" s="110" t="s">
        <v>186</v>
      </c>
      <c r="N1" s="114"/>
      <c r="O1" s="131" t="s">
        <v>47</v>
      </c>
      <c r="P1" s="277" t="s">
        <v>1</v>
      </c>
      <c r="Q1" s="276" t="str">
        <f>Notes!G1</f>
        <v>1.0.0</v>
      </c>
      <c r="R1" s="217"/>
      <c r="S1" s="222" t="s">
        <v>130</v>
      </c>
      <c r="T1" s="221" t="str">
        <f>Notes!A1</f>
        <v>10GEPBud2_4_1.xls</v>
      </c>
      <c r="U1" s="217"/>
      <c r="V1" s="214"/>
      <c r="W1" s="241">
        <f>Notes!E1</f>
        <v>36879</v>
      </c>
      <c r="AB1" s="217"/>
      <c r="AC1" s="51"/>
      <c r="AD1" s="51"/>
      <c r="AE1" s="51"/>
      <c r="AF1" s="51"/>
    </row>
    <row r="2" spans="1:32" ht="15.75">
      <c r="A2" s="62" t="s">
        <v>2</v>
      </c>
      <c r="B2" s="118" t="s">
        <v>3</v>
      </c>
      <c r="C2" s="73"/>
      <c r="D2" s="65">
        <f>IF(O1="SMF","PolMD DGDmax","")</f>
      </c>
      <c r="E2" s="238"/>
      <c r="F2" s="73">
        <f>IF(O1="SMF","ps at target "&amp;J2&amp;K2,"")</f>
      </c>
      <c r="G2" s="62"/>
      <c r="H2" s="61"/>
      <c r="I2" s="65" t="s">
        <v>92</v>
      </c>
      <c r="J2" s="264">
        <v>0.086</v>
      </c>
      <c r="K2" s="61" t="s">
        <v>93</v>
      </c>
      <c r="L2" s="61"/>
      <c r="M2" s="73"/>
      <c r="N2" s="61"/>
      <c r="O2" s="62" t="s">
        <v>98</v>
      </c>
      <c r="P2" s="139">
        <f>1000000/$P$6</f>
        <v>87.26969696969698</v>
      </c>
      <c r="Q2" s="61" t="s">
        <v>87</v>
      </c>
      <c r="R2" s="274"/>
      <c r="S2" s="275" t="s">
        <v>232</v>
      </c>
      <c r="T2" s="278" t="str">
        <f>Notes!F16</f>
        <v>2.4.1</v>
      </c>
      <c r="U2" s="279" t="s">
        <v>229</v>
      </c>
      <c r="V2" s="283">
        <f>Notes!D16</f>
        <v>36881</v>
      </c>
      <c r="W2" s="284"/>
      <c r="X2" s="6"/>
      <c r="Y2" s="243" t="s">
        <v>154</v>
      </c>
      <c r="Z2" s="244">
        <f>10^(B6/10)</f>
        <v>1.5797070999185934</v>
      </c>
      <c r="AA2" s="245" t="s">
        <v>153</v>
      </c>
      <c r="AB2" s="66"/>
      <c r="AC2" s="1"/>
      <c r="AD2" s="1"/>
      <c r="AE2" s="1"/>
      <c r="AF2" s="1"/>
    </row>
    <row r="3" spans="1:32" ht="15" customHeight="1">
      <c r="A3" s="62" t="s">
        <v>214</v>
      </c>
      <c r="B3" s="67">
        <f>0.25*$E$4*$B$4*(1-($E$5/$B$4)^4)</f>
        <v>-117.7609329446064</v>
      </c>
      <c r="C3" s="66" t="s">
        <v>213</v>
      </c>
      <c r="D3" s="65" t="s">
        <v>144</v>
      </c>
      <c r="E3" s="145">
        <v>500</v>
      </c>
      <c r="F3" s="61" t="s">
        <v>143</v>
      </c>
      <c r="G3" s="61"/>
      <c r="H3" s="73"/>
      <c r="I3" s="62" t="s">
        <v>95</v>
      </c>
      <c r="J3" s="265">
        <v>0.056</v>
      </c>
      <c r="K3" s="73" t="s">
        <v>93</v>
      </c>
      <c r="L3" s="61"/>
      <c r="M3" s="73"/>
      <c r="N3" s="61"/>
      <c r="O3" s="62" t="s">
        <v>4</v>
      </c>
      <c r="P3" s="49">
        <f>IF($B$4&gt;1000,$E$6/1.5,$E$6/3.5)</f>
        <v>1</v>
      </c>
      <c r="Q3" s="61"/>
      <c r="R3" s="80"/>
      <c r="S3" s="243" t="s">
        <v>207</v>
      </c>
      <c r="T3" s="244">
        <f>10*LOG10(Z3)</f>
        <v>6.48361779551788</v>
      </c>
      <c r="U3" s="246" t="s">
        <v>155</v>
      </c>
      <c r="V3" s="73"/>
      <c r="W3" s="66"/>
      <c r="X3" s="6"/>
      <c r="Y3" s="243" t="s">
        <v>152</v>
      </c>
      <c r="Z3" s="244">
        <f>(Z2+1)/(Z2-1)</f>
        <v>4.450018121704658</v>
      </c>
      <c r="AA3" s="245" t="s">
        <v>153</v>
      </c>
      <c r="AB3" s="82"/>
      <c r="AD3" s="1"/>
      <c r="AE3" s="251"/>
      <c r="AF3" s="1"/>
    </row>
    <row r="4" spans="1:32" ht="15" customHeight="1">
      <c r="A4" s="62" t="s">
        <v>48</v>
      </c>
      <c r="B4" s="84">
        <v>840</v>
      </c>
      <c r="C4" s="73"/>
      <c r="D4" s="65" t="s">
        <v>7</v>
      </c>
      <c r="E4" s="81">
        <v>0.11</v>
      </c>
      <c r="F4" s="61"/>
      <c r="G4" s="61"/>
      <c r="H4" s="73"/>
      <c r="I4" s="62" t="s">
        <v>96</v>
      </c>
      <c r="J4" s="149">
        <f>10^(INT(LOG10(J3/9)))*3</f>
        <v>0.003</v>
      </c>
      <c r="K4" s="61" t="s">
        <v>93</v>
      </c>
      <c r="L4" s="61"/>
      <c r="M4" s="61"/>
      <c r="N4" s="61"/>
      <c r="O4" s="62" t="s">
        <v>5</v>
      </c>
      <c r="P4" s="139">
        <f>B7*1.518</f>
        <v>47.817</v>
      </c>
      <c r="Q4" s="73" t="s">
        <v>87</v>
      </c>
      <c r="R4" s="85"/>
      <c r="S4" s="2" t="s">
        <v>208</v>
      </c>
      <c r="T4" s="4">
        <f>10*LOG10((1+10^(-($J$10/10)))/(1-10^(-($J$10/10))))</f>
        <v>1.978027515771426</v>
      </c>
      <c r="U4" s="246" t="s">
        <v>155</v>
      </c>
      <c r="V4" s="73"/>
      <c r="W4" s="66"/>
      <c r="X4" s="6"/>
      <c r="Y4" s="248" t="s">
        <v>31</v>
      </c>
      <c r="Z4" s="5">
        <f>0.7*$E$4*$B$5</f>
        <v>0.026949999999999998</v>
      </c>
      <c r="AA4" s="66" t="s">
        <v>213</v>
      </c>
      <c r="AB4" s="83"/>
      <c r="AD4" s="1"/>
      <c r="AE4" s="251"/>
      <c r="AF4" s="1"/>
    </row>
    <row r="5" spans="1:31" ht="15" customHeight="1">
      <c r="A5" s="62" t="s">
        <v>6</v>
      </c>
      <c r="B5" s="86">
        <v>0.35</v>
      </c>
      <c r="C5" s="73"/>
      <c r="D5" s="65" t="s">
        <v>49</v>
      </c>
      <c r="E5" s="81">
        <v>1320</v>
      </c>
      <c r="F5" s="61"/>
      <c r="G5" s="61"/>
      <c r="H5" s="73"/>
      <c r="I5" s="62" t="s">
        <v>9</v>
      </c>
      <c r="J5" s="87">
        <v>480</v>
      </c>
      <c r="K5" s="61" t="s">
        <v>91</v>
      </c>
      <c r="L5" s="73"/>
      <c r="M5" s="67"/>
      <c r="N5" s="61"/>
      <c r="O5" s="62" t="s">
        <v>8</v>
      </c>
      <c r="P5" s="95">
        <v>0.7</v>
      </c>
      <c r="Q5" s="61"/>
      <c r="R5" s="85"/>
      <c r="S5" s="248" t="s">
        <v>163</v>
      </c>
      <c r="T5" s="249">
        <f>T3-T4</f>
        <v>4.505590279746453</v>
      </c>
      <c r="U5" s="246" t="s">
        <v>155</v>
      </c>
      <c r="V5" s="73"/>
      <c r="W5" s="66"/>
      <c r="X5" s="6"/>
      <c r="AB5" s="83"/>
      <c r="AC5" s="1"/>
      <c r="AE5" s="252"/>
    </row>
    <row r="6" spans="1:32" ht="15" customHeight="1">
      <c r="A6" s="62" t="s">
        <v>223</v>
      </c>
      <c r="B6" s="70">
        <f>10*LOG10((2*AE7+K9)/(2*AE7-K9))</f>
        <v>1.985765700676064</v>
      </c>
      <c r="C6" s="73" t="s">
        <v>54</v>
      </c>
      <c r="D6" s="65" t="s">
        <v>83</v>
      </c>
      <c r="E6" s="81">
        <v>3.5</v>
      </c>
      <c r="F6" s="61" t="str">
        <f>"dB/km at "&amp;IF(B4&lt;1000,850,1300)&amp;" nm"</f>
        <v>dB/km at 850 nm</v>
      </c>
      <c r="G6" s="61"/>
      <c r="H6" s="73"/>
      <c r="I6" s="62" t="s">
        <v>12</v>
      </c>
      <c r="J6" s="86">
        <v>7.037</v>
      </c>
      <c r="K6" s="61"/>
      <c r="L6" s="61"/>
      <c r="M6" s="67"/>
      <c r="N6" s="61"/>
      <c r="O6" s="65" t="s">
        <v>10</v>
      </c>
      <c r="P6" s="88">
        <f>(P7)</f>
        <v>11458.73120594465</v>
      </c>
      <c r="Q6" s="66"/>
      <c r="R6" s="83"/>
      <c r="S6" s="62" t="s">
        <v>204</v>
      </c>
      <c r="T6" s="51">
        <f>$E$10-$E$11</f>
        <v>6</v>
      </c>
      <c r="U6" s="233" t="s">
        <v>54</v>
      </c>
      <c r="V6" s="73"/>
      <c r="W6" s="66"/>
      <c r="Y6" s="166" t="s">
        <v>114</v>
      </c>
      <c r="Z6" s="167">
        <f>$Z$8*$P$2/(SQRT(8)*$T$9)</f>
        <v>1.98301103626657</v>
      </c>
      <c r="AA6" s="168" t="s">
        <v>67</v>
      </c>
      <c r="AB6" s="61"/>
      <c r="AC6" s="1"/>
      <c r="AD6" s="1"/>
      <c r="AE6" s="251"/>
      <c r="AF6" s="1"/>
    </row>
    <row r="7" spans="1:32" ht="15" customHeight="1">
      <c r="A7" s="62" t="s">
        <v>11</v>
      </c>
      <c r="B7" s="81">
        <v>31.5</v>
      </c>
      <c r="C7" s="73" t="s">
        <v>87</v>
      </c>
      <c r="D7" s="65" t="s">
        <v>145</v>
      </c>
      <c r="E7" s="239">
        <f>IF(O1="SMF",1000000*J2/(3*E2),E3)</f>
        <v>500</v>
      </c>
      <c r="F7" s="61" t="s">
        <v>143</v>
      </c>
      <c r="G7" s="67"/>
      <c r="H7" s="67"/>
      <c r="I7" s="65" t="s">
        <v>88</v>
      </c>
      <c r="J7" s="147">
        <f>2.5*10^5/$E$8</f>
        <v>24.242424242424242</v>
      </c>
      <c r="K7" s="67" t="s">
        <v>87</v>
      </c>
      <c r="L7" s="61"/>
      <c r="M7" s="67"/>
      <c r="N7" s="61"/>
      <c r="O7" s="65" t="s">
        <v>13</v>
      </c>
      <c r="P7" s="89">
        <f>1/((1/$E$8)-$J$8*10^-6)</f>
        <v>11458.73120594465</v>
      </c>
      <c r="Q7" s="66"/>
      <c r="R7" s="83"/>
      <c r="S7" s="91" t="s">
        <v>28</v>
      </c>
      <c r="T7" s="115">
        <f>AE36</f>
        <v>0.8004309307201432</v>
      </c>
      <c r="U7" s="92" t="str">
        <f>"dB at target "&amp;J2&amp;" km"</f>
        <v>dB at target 0.086 km</v>
      </c>
      <c r="V7" s="73"/>
      <c r="W7" s="119"/>
      <c r="Y7" s="166" t="s">
        <v>115</v>
      </c>
      <c r="Z7" s="169">
        <f>IF(ABS($Z$6)&lt;10,SIGN($Z$6)*ERF(ABS($Z$6)),SIGN($Z$6))</f>
        <v>0.9949589846722309</v>
      </c>
      <c r="AA7" s="168" t="s">
        <v>67</v>
      </c>
      <c r="AB7" s="61"/>
      <c r="AC7" s="1"/>
      <c r="AD7" s="2" t="s">
        <v>166</v>
      </c>
      <c r="AE7" s="253">
        <f>1000*10^(J9/10)</f>
        <v>794.3282347242815</v>
      </c>
      <c r="AF7" s="1" t="s">
        <v>165</v>
      </c>
    </row>
    <row r="8" spans="1:32" ht="15" customHeight="1">
      <c r="A8" s="248" t="s">
        <v>224</v>
      </c>
      <c r="B8" s="81">
        <v>-125</v>
      </c>
      <c r="C8" s="102" t="s">
        <v>74</v>
      </c>
      <c r="D8" s="62" t="s">
        <v>84</v>
      </c>
      <c r="E8" s="148">
        <v>10312.5</v>
      </c>
      <c r="F8" s="73" t="s">
        <v>89</v>
      </c>
      <c r="G8" s="67"/>
      <c r="H8" s="61"/>
      <c r="I8" s="65" t="s">
        <v>15</v>
      </c>
      <c r="J8" s="81">
        <v>9.7</v>
      </c>
      <c r="K8" s="61"/>
      <c r="L8" s="61"/>
      <c r="M8" s="61"/>
      <c r="N8" s="61"/>
      <c r="O8" s="62" t="s">
        <v>14</v>
      </c>
      <c r="P8" s="63">
        <f>(10^-6)*$J$7*$P$7</f>
        <v>0.27778742317441574</v>
      </c>
      <c r="Q8" s="66"/>
      <c r="R8" s="83"/>
      <c r="S8" s="65" t="s">
        <v>100</v>
      </c>
      <c r="T8" s="51">
        <f>$P$3*((1/(0.00094*$B$4)^4)+1.05)</f>
        <v>3.622595119239568</v>
      </c>
      <c r="U8" s="61" t="str">
        <f>"dB/km at "&amp;B4&amp;" nm"</f>
        <v>dB/km at 840 nm</v>
      </c>
      <c r="V8" s="73"/>
      <c r="W8" s="66"/>
      <c r="Y8" s="166" t="s">
        <v>116</v>
      </c>
      <c r="Z8" s="170">
        <v>2.563</v>
      </c>
      <c r="AA8" s="168" t="s">
        <v>67</v>
      </c>
      <c r="AB8" s="61"/>
      <c r="AC8" s="1"/>
      <c r="AD8" s="1"/>
      <c r="AE8" s="1"/>
      <c r="AF8" s="1"/>
    </row>
    <row r="9" spans="1:32" ht="15" customHeight="1">
      <c r="A9" s="62" t="s">
        <v>225</v>
      </c>
      <c r="B9" s="247">
        <f>B8-2*T3</f>
        <v>-137.96723559103577</v>
      </c>
      <c r="C9" s="102" t="s">
        <v>74</v>
      </c>
      <c r="D9" s="65" t="s">
        <v>85</v>
      </c>
      <c r="E9" s="145">
        <v>8250</v>
      </c>
      <c r="F9" s="73" t="s">
        <v>90</v>
      </c>
      <c r="G9" s="73"/>
      <c r="H9" s="61"/>
      <c r="I9" s="258" t="s">
        <v>233</v>
      </c>
      <c r="J9" s="122">
        <v>-1</v>
      </c>
      <c r="K9" s="250">
        <v>357</v>
      </c>
      <c r="L9" s="92" t="s">
        <v>164</v>
      </c>
      <c r="M9" s="67"/>
      <c r="N9" s="61"/>
      <c r="O9" s="62" t="s">
        <v>16</v>
      </c>
      <c r="P9" s="90">
        <f>(P8)</f>
        <v>0.27778742317441574</v>
      </c>
      <c r="Q9" s="66"/>
      <c r="R9" s="83"/>
      <c r="S9" s="91" t="s">
        <v>64</v>
      </c>
      <c r="T9" s="138">
        <f>T10*1000/$E$9</f>
        <v>39.878787878787875</v>
      </c>
      <c r="U9" s="92" t="s">
        <v>87</v>
      </c>
      <c r="V9" s="32"/>
      <c r="W9" s="41"/>
      <c r="Y9" s="171" t="s">
        <v>86</v>
      </c>
      <c r="Z9" s="193">
        <f>ERF(MAX(MIN($Z$8*$P$2*($P$9+1)/(SQRT(8)*$T$9),10),-10))+ERF(MAX(MIN($Z$8*$P$2*(1-$P$9)/(SQRT(8)*$T$9),10),-10))-1</f>
        <v>0.9568318800105882</v>
      </c>
      <c r="AA9" s="172" t="s">
        <v>67</v>
      </c>
      <c r="AB9" s="61"/>
      <c r="AC9" s="1"/>
      <c r="AD9" s="1"/>
      <c r="AE9" s="1"/>
      <c r="AF9" s="1"/>
    </row>
    <row r="10" spans="1:32" ht="15" customHeight="1">
      <c r="A10" s="273" t="s">
        <v>226</v>
      </c>
      <c r="B10" s="81">
        <v>0.5</v>
      </c>
      <c r="C10" s="73"/>
      <c r="D10" s="65" t="s">
        <v>58</v>
      </c>
      <c r="E10" s="81">
        <v>7.5</v>
      </c>
      <c r="F10" s="73"/>
      <c r="G10" s="62"/>
      <c r="H10" s="61"/>
      <c r="I10" s="62" t="s">
        <v>21</v>
      </c>
      <c r="J10" s="116">
        <v>6.5</v>
      </c>
      <c r="K10" s="61"/>
      <c r="L10" s="61"/>
      <c r="M10" s="67"/>
      <c r="N10" s="61"/>
      <c r="O10" s="62" t="s">
        <v>18</v>
      </c>
      <c r="P10" s="49">
        <f>S35-$T$6</f>
        <v>4.705776299385949</v>
      </c>
      <c r="Q10" s="67" t="s">
        <v>19</v>
      </c>
      <c r="R10" s="83"/>
      <c r="S10" s="202" t="s">
        <v>141</v>
      </c>
      <c r="T10" s="234">
        <v>329</v>
      </c>
      <c r="U10" s="235" t="s">
        <v>91</v>
      </c>
      <c r="V10" s="73"/>
      <c r="W10" s="103" t="s">
        <v>20</v>
      </c>
      <c r="X10" s="66"/>
      <c r="Y10" s="12" t="s">
        <v>29</v>
      </c>
      <c r="Z10" s="12" t="s">
        <v>24</v>
      </c>
      <c r="AA10" s="150"/>
      <c r="AB10" s="61"/>
      <c r="AC10" s="1"/>
      <c r="AD10" s="1"/>
      <c r="AE10" s="1"/>
      <c r="AF10" s="1"/>
    </row>
    <row r="11" spans="1:32" ht="15" customHeight="1">
      <c r="A11" s="34" t="s">
        <v>17</v>
      </c>
      <c r="B11" s="240">
        <v>0.3</v>
      </c>
      <c r="C11" s="32"/>
      <c r="D11" s="45" t="s">
        <v>59</v>
      </c>
      <c r="E11" s="240">
        <v>1.5</v>
      </c>
      <c r="F11" s="32"/>
      <c r="G11" s="33"/>
      <c r="H11" s="33"/>
      <c r="I11" s="34" t="s">
        <v>65</v>
      </c>
      <c r="J11" s="35">
        <v>0.025</v>
      </c>
      <c r="K11" s="36" t="s">
        <v>57</v>
      </c>
      <c r="L11" s="37"/>
      <c r="M11" s="37"/>
      <c r="N11" s="33"/>
      <c r="O11" s="38" t="s">
        <v>53</v>
      </c>
      <c r="P11" s="39">
        <f>10*LOG10(1/SQRT(1-($J$6*J11)^2))</f>
        <v>0.0682681868313477</v>
      </c>
      <c r="Q11" s="36" t="s">
        <v>54</v>
      </c>
      <c r="R11" s="57"/>
      <c r="S11" s="38" t="s">
        <v>52</v>
      </c>
      <c r="T11" s="40">
        <f>10*LOG10(1/SQRT(1-($J$6*$J$11/$Z$9)^2))</f>
        <v>0.07467657973283322</v>
      </c>
      <c r="U11" s="236" t="s">
        <v>54</v>
      </c>
      <c r="V11" s="73"/>
      <c r="W11" s="93" t="s">
        <v>22</v>
      </c>
      <c r="X11" s="6" t="s">
        <v>23</v>
      </c>
      <c r="Y11" s="10" t="s">
        <v>77</v>
      </c>
      <c r="Z11" s="6" t="s">
        <v>30</v>
      </c>
      <c r="AA11" s="151" t="s">
        <v>68</v>
      </c>
      <c r="AB11" s="61"/>
      <c r="AC11" s="1"/>
      <c r="AD11" s="1"/>
      <c r="AE11" s="1"/>
      <c r="AF11" s="1"/>
    </row>
    <row r="12" spans="1:35" ht="15" customHeight="1">
      <c r="A12" s="242" t="s">
        <v>76</v>
      </c>
      <c r="B12" s="66" t="s">
        <v>215</v>
      </c>
      <c r="C12" s="66" t="s">
        <v>216</v>
      </c>
      <c r="D12" s="72" t="s">
        <v>70</v>
      </c>
      <c r="E12" s="72" t="s">
        <v>146</v>
      </c>
      <c r="F12" s="73" t="s">
        <v>71</v>
      </c>
      <c r="G12" s="73" t="s">
        <v>72</v>
      </c>
      <c r="H12" s="64" t="s">
        <v>32</v>
      </c>
      <c r="I12" s="65" t="s">
        <v>33</v>
      </c>
      <c r="J12" s="66" t="s">
        <v>34</v>
      </c>
      <c r="K12" s="67" t="s">
        <v>35</v>
      </c>
      <c r="L12" s="65" t="s">
        <v>36</v>
      </c>
      <c r="M12" s="65" t="s">
        <v>37</v>
      </c>
      <c r="N12" s="65" t="s">
        <v>38</v>
      </c>
      <c r="O12" s="68" t="s">
        <v>69</v>
      </c>
      <c r="P12" s="256" t="s">
        <v>175</v>
      </c>
      <c r="Q12" s="65" t="s">
        <v>39</v>
      </c>
      <c r="R12" s="69" t="s">
        <v>40</v>
      </c>
      <c r="S12" s="70" t="s">
        <v>42</v>
      </c>
      <c r="T12" s="68" t="s">
        <v>43</v>
      </c>
      <c r="U12" s="67" t="s">
        <v>44</v>
      </c>
      <c r="V12" s="71" t="s">
        <v>28</v>
      </c>
      <c r="W12" s="230" t="s">
        <v>27</v>
      </c>
      <c r="X12" s="6" t="s">
        <v>28</v>
      </c>
      <c r="Y12" s="5" t="s">
        <v>157</v>
      </c>
      <c r="Z12" s="5" t="s">
        <v>158</v>
      </c>
      <c r="AA12" s="151" t="s">
        <v>56</v>
      </c>
      <c r="AB12" s="66" t="s">
        <v>41</v>
      </c>
      <c r="AC12" s="156" t="s">
        <v>123</v>
      </c>
      <c r="AD12" s="1"/>
      <c r="AE12" s="146" t="s">
        <v>101</v>
      </c>
      <c r="AF12" s="173" t="s">
        <v>117</v>
      </c>
      <c r="AG12" s="180" t="s">
        <v>118</v>
      </c>
      <c r="AH12" s="157" t="s">
        <v>119</v>
      </c>
      <c r="AI12" s="157" t="s">
        <v>120</v>
      </c>
    </row>
    <row r="13" spans="1:35" s="33" customFormat="1" ht="15" customHeight="1">
      <c r="A13" s="120" t="s">
        <v>75</v>
      </c>
      <c r="B13" s="42" t="s">
        <v>217</v>
      </c>
      <c r="C13" s="42" t="s">
        <v>217</v>
      </c>
      <c r="D13" s="43" t="s">
        <v>73</v>
      </c>
      <c r="E13" s="43" t="s">
        <v>73</v>
      </c>
      <c r="F13" s="32" t="s">
        <v>97</v>
      </c>
      <c r="G13" s="32" t="s">
        <v>97</v>
      </c>
      <c r="H13" s="44" t="s">
        <v>25</v>
      </c>
      <c r="I13" s="45" t="s">
        <v>25</v>
      </c>
      <c r="J13" s="32"/>
      <c r="K13" s="46"/>
      <c r="L13" s="45" t="s">
        <v>25</v>
      </c>
      <c r="M13" s="45"/>
      <c r="N13" s="45" t="s">
        <v>25</v>
      </c>
      <c r="O13" s="45" t="s">
        <v>25</v>
      </c>
      <c r="P13" s="257" t="s">
        <v>25</v>
      </c>
      <c r="Q13" s="45" t="s">
        <v>25</v>
      </c>
      <c r="R13" s="58" t="s">
        <v>25</v>
      </c>
      <c r="S13" s="46" t="s">
        <v>25</v>
      </c>
      <c r="T13" s="47" t="s">
        <v>25</v>
      </c>
      <c r="U13" s="47" t="s">
        <v>26</v>
      </c>
      <c r="V13" s="48" t="s">
        <v>25</v>
      </c>
      <c r="W13" s="94" t="s">
        <v>45</v>
      </c>
      <c r="X13" s="42" t="s">
        <v>46</v>
      </c>
      <c r="Y13" s="42" t="s">
        <v>25</v>
      </c>
      <c r="Z13" s="42" t="s">
        <v>25</v>
      </c>
      <c r="AA13" s="152" t="s">
        <v>55</v>
      </c>
      <c r="AB13" s="42" t="s">
        <v>25</v>
      </c>
      <c r="AC13" s="132" t="s">
        <v>122</v>
      </c>
      <c r="AD13" s="133" t="s">
        <v>94</v>
      </c>
      <c r="AE13" s="133" t="s">
        <v>121</v>
      </c>
      <c r="AF13" s="174" t="s">
        <v>55</v>
      </c>
      <c r="AG13" s="181" t="s">
        <v>55</v>
      </c>
      <c r="AH13" s="181" t="s">
        <v>55</v>
      </c>
      <c r="AI13" s="181" t="s">
        <v>55</v>
      </c>
    </row>
    <row r="14" spans="1:35" s="114" customFormat="1" ht="15" customHeight="1">
      <c r="A14" s="121">
        <v>0.002</v>
      </c>
      <c r="B14" s="107">
        <f>A14*$B$3</f>
        <v>-0.23552186588921278</v>
      </c>
      <c r="C14" s="125">
        <f>A14*$Z$4</f>
        <v>5.3899999999999996E-05</v>
      </c>
      <c r="D14" s="108">
        <f>(0.187/$B$5)*10^6/(SQRT(B14^2+C14^2))</f>
        <v>2268518.45911292</v>
      </c>
      <c r="E14" s="108">
        <f aca="true" t="shared" si="0" ref="E14:E35">$E$7/A14</f>
        <v>250000</v>
      </c>
      <c r="F14" s="140">
        <f aca="true" t="shared" si="1" ref="F14:F35">SQRT((1000*$J$5/D14)^2+(1000*$J$5/E14)^2+$P$4^2)</f>
        <v>47.85599920707662</v>
      </c>
      <c r="G14" s="140">
        <f aca="true" t="shared" si="2" ref="G14:G35">SQRT(F14^2+$T$9^2)</f>
        <v>62.293774831752465</v>
      </c>
      <c r="H14" s="109">
        <f aca="true" t="shared" si="3" ref="H14:H35">-10*LOG10(2*AG14-1)</f>
        <v>0.6814124252283481</v>
      </c>
      <c r="I14" s="107">
        <f aca="true" t="shared" si="4" ref="I14:I35">A14*$P$3*((1/(0.00094*$B$4)^4)+1.05)</f>
        <v>0.007245190238479136</v>
      </c>
      <c r="J14" s="110">
        <f>(10^-6)*3.14*$P$6*B14*$B$5</f>
        <v>-0.0029659611480273894</v>
      </c>
      <c r="K14" s="107">
        <f aca="true" t="shared" si="5" ref="K14:K35">($B$10/SQRT(2))*(1-EXP(-1*J14^2))</f>
        <v>3.1101691685042364E-06</v>
      </c>
      <c r="L14" s="107">
        <f aca="true" t="shared" si="6" ref="L14:L35">10*LOG10(1/SQRT(1-($J$6*K14)^2))</f>
        <v>1.040153499451278E-09</v>
      </c>
      <c r="M14" s="107"/>
      <c r="N14" s="107"/>
      <c r="O14" s="107">
        <f aca="true" t="shared" si="7" ref="O14:O35">10*LOG10(1/SQRT(1-($J$6*$J$6*((($J$11/AA14)^2)+M14+(K14*K14)))))-$T$11-L14-N14</f>
        <v>0.03767713480747401</v>
      </c>
      <c r="P14" s="175">
        <f aca="true" t="shared" si="8" ref="P14:P35">Y14-Z14</f>
        <v>4.505590279746455</v>
      </c>
      <c r="Q14" s="107">
        <f aca="true" t="shared" si="9" ref="Q14:Q35">$B$11</f>
        <v>0.3</v>
      </c>
      <c r="R14" s="203">
        <f aca="true" t="shared" si="10" ref="R14:R35">-10*LOG10(AA14)-H14</f>
        <v>0.3785429317831145</v>
      </c>
      <c r="S14" s="255">
        <f aca="true" t="shared" si="11" ref="S14:S35">H14+I14+L14+N14+O14+Q14+R14</f>
        <v>1.404877683097569</v>
      </c>
      <c r="T14" s="107">
        <f aca="true" t="shared" si="12" ref="T14:T35">$E$11+I14</f>
        <v>1.5072451902384791</v>
      </c>
      <c r="U14" s="107">
        <f aca="true" t="shared" si="13" ref="U14:U35">S14-I14</f>
        <v>1.39763249285909</v>
      </c>
      <c r="V14" s="112">
        <f aca="true" t="shared" si="14" ref="V14:V35">$T$6-S14</f>
        <v>4.595122316902431</v>
      </c>
      <c r="W14" s="113">
        <f aca="true" t="shared" si="15" ref="W14:W35">$J$9-T14-R14-$T$5</f>
        <v>-7.391378401768048</v>
      </c>
      <c r="X14" s="111"/>
      <c r="Y14" s="107">
        <f aca="true" t="shared" si="16" ref="Y14:Y35">10*LOG10((1+10^(-($B$6/10)))/(1-10^(-($B$6/10))))</f>
        <v>6.483617795517881</v>
      </c>
      <c r="Z14" s="107">
        <f aca="true" t="shared" si="17" ref="Z14:Z35">10*LOG10((1+10^(-($J$10/10)))/(1-10^(-($J$10/10))))</f>
        <v>1.978027515771426</v>
      </c>
      <c r="AA14" s="175">
        <f>ERF(AH14)+ERF(AI14)-1</f>
        <v>0.7834376960162022</v>
      </c>
      <c r="AB14" s="111">
        <f aca="true" t="shared" si="18" ref="AB14:AB35">$E$10-$E$11</f>
        <v>6</v>
      </c>
      <c r="AC14" s="134"/>
      <c r="AD14" s="135"/>
      <c r="AE14" s="110"/>
      <c r="AF14" s="178">
        <f aca="true" t="shared" si="19" ref="AF14:AF35">$Z$8*$P$2/(SQRT(8)*G14)</f>
        <v>1.269469970156008</v>
      </c>
      <c r="AG14" s="182">
        <f>IF(ABS(AF14)&lt;10,SIGN(AF14)*ERF(ABS(AF14)),SIGN(AF14))</f>
        <v>0.9273943354001635</v>
      </c>
      <c r="AH14" s="188">
        <f aca="true" t="shared" si="20" ref="AH14:AH35">MAX(MIN($Z$8*$P$2*($P$9+1)/(SQRT(8)*G14),10),-10)</f>
        <v>1.6221127619629478</v>
      </c>
      <c r="AI14" s="189">
        <f aca="true" t="shared" si="21" ref="AI14:AI35">MAX(MIN($Z$8*$P$2*(1-$P$9)/(SQRT(8)*G14),10),-10)</f>
        <v>0.916827178349068</v>
      </c>
    </row>
    <row r="15" spans="1:35" s="20" customFormat="1" ht="15" customHeight="1">
      <c r="A15" s="261">
        <f>$J$3</f>
        <v>0.056</v>
      </c>
      <c r="B15" s="270">
        <f>A15*$B$3</f>
        <v>-6.5946122448979585</v>
      </c>
      <c r="C15" s="127">
        <f>A15*$Z$4</f>
        <v>0.0015092</v>
      </c>
      <c r="D15" s="142">
        <f>(0.187/$B$5)*10^6/(SQRT(B15^2+C15^2))</f>
        <v>81018.51639689</v>
      </c>
      <c r="E15" s="142">
        <f t="shared" si="0"/>
        <v>8928.571428571428</v>
      </c>
      <c r="F15" s="104">
        <f t="shared" si="1"/>
        <v>72.19213002433575</v>
      </c>
      <c r="G15" s="165">
        <f t="shared" si="2"/>
        <v>82.47436789774116</v>
      </c>
      <c r="H15" s="98">
        <f t="shared" si="3"/>
        <v>1.8721477731353573</v>
      </c>
      <c r="I15" s="95">
        <f t="shared" si="4"/>
        <v>0.2028653266774158</v>
      </c>
      <c r="J15" s="95">
        <f>(10^-6)*3.14*$P$6*B15*$B$5</f>
        <v>-0.08304691214476691</v>
      </c>
      <c r="K15" s="95">
        <f t="shared" si="5"/>
        <v>0.0024299941420127284</v>
      </c>
      <c r="L15" s="95">
        <f t="shared" si="6"/>
        <v>0.0006350433517518623</v>
      </c>
      <c r="M15" s="95">
        <f aca="true" t="shared" si="22" ref="M15:M35">$P$5*10^9*($J$5/G15)*10^($B$8/10)</f>
        <v>0.0012883097147637244</v>
      </c>
      <c r="N15" s="95">
        <f aca="true" t="shared" si="23" ref="N15:N35">10*LOG10(1/SQRT(1-($J$6^2)*M15))</f>
        <v>0.1431481973224027</v>
      </c>
      <c r="O15" s="95">
        <f t="shared" si="7"/>
        <v>0.14255975470021215</v>
      </c>
      <c r="P15" s="207">
        <f t="shared" si="8"/>
        <v>4.505590279746455</v>
      </c>
      <c r="Q15" s="95">
        <f t="shared" si="9"/>
        <v>0.3</v>
      </c>
      <c r="R15" s="194">
        <f t="shared" si="10"/>
        <v>0.4235167456111364</v>
      </c>
      <c r="S15" s="96">
        <f t="shared" si="11"/>
        <v>3.084872840798276</v>
      </c>
      <c r="T15" s="95">
        <f t="shared" si="12"/>
        <v>1.7028653266774159</v>
      </c>
      <c r="U15" s="95">
        <f t="shared" si="13"/>
        <v>2.8820075141208603</v>
      </c>
      <c r="V15" s="100">
        <f t="shared" si="14"/>
        <v>2.915127159201724</v>
      </c>
      <c r="W15" s="254">
        <f t="shared" si="15"/>
        <v>-7.631972352035006</v>
      </c>
      <c r="X15" s="19"/>
      <c r="Y15" s="18">
        <f t="shared" si="16"/>
        <v>6.483617795517881</v>
      </c>
      <c r="Z15" s="18">
        <f t="shared" si="17"/>
        <v>1.978027515771426</v>
      </c>
      <c r="AA15" s="206">
        <f>ERF(AH15)+ERF(AI15)-1</f>
        <v>0.5894317805623916</v>
      </c>
      <c r="AB15" s="99">
        <f t="shared" si="18"/>
        <v>6</v>
      </c>
      <c r="AC15" s="183">
        <f aca="true" t="shared" si="24" ref="AC15:AC35">$J$2</f>
        <v>0.086</v>
      </c>
      <c r="AD15" s="185">
        <v>0</v>
      </c>
      <c r="AE15" s="198">
        <f aca="true" t="shared" si="25" ref="AE15:AE35">IF(A15=$J$2,V15,0)</f>
        <v>0</v>
      </c>
      <c r="AF15" s="153">
        <f t="shared" si="19"/>
        <v>0.9588442869258504</v>
      </c>
      <c r="AG15" s="176">
        <f>IF(ABS(AF15)&lt;10,SIGN(AF15)*ERF(ABS(AF15)),SIGN(AF15))</f>
        <v>0.824904126359128</v>
      </c>
      <c r="AH15" s="191">
        <f t="shared" si="20"/>
        <v>1.2251991706164926</v>
      </c>
      <c r="AI15" s="192">
        <f t="shared" si="21"/>
        <v>0.6924894032352084</v>
      </c>
    </row>
    <row r="16" spans="1:35" s="26" customFormat="1" ht="15" customHeight="1">
      <c r="A16" s="262">
        <f aca="true" t="shared" si="26" ref="A16:A35">A15+$J$4</f>
        <v>0.059000000000000004</v>
      </c>
      <c r="B16" s="271">
        <f>A16*$B$3</f>
        <v>-6.947895043731778</v>
      </c>
      <c r="C16" s="128">
        <f>A16*$Z$4</f>
        <v>0.00159005</v>
      </c>
      <c r="D16" s="143">
        <f>(0.187/$B$5)*10^6/(SQRT(B16^2+C16^2))</f>
        <v>76898.93081738711</v>
      </c>
      <c r="E16" s="143">
        <f t="shared" si="0"/>
        <v>8474.57627118644</v>
      </c>
      <c r="F16" s="105">
        <f t="shared" si="1"/>
        <v>74.38761419410655</v>
      </c>
      <c r="G16" s="105">
        <f t="shared" si="2"/>
        <v>84.40281315319176</v>
      </c>
      <c r="H16" s="50">
        <f t="shared" si="3"/>
        <v>2.0088263506862263</v>
      </c>
      <c r="I16" s="49">
        <f t="shared" si="4"/>
        <v>0.21373311203513454</v>
      </c>
      <c r="J16" s="49">
        <f aca="true" t="shared" si="27" ref="J16:J35">(10^-6)*3.14*$P$6*B16*$B$5</f>
        <v>-0.087495853866808</v>
      </c>
      <c r="K16" s="49">
        <f t="shared" si="5"/>
        <v>0.0026963026499648027</v>
      </c>
      <c r="L16" s="49">
        <f t="shared" si="6"/>
        <v>0.0007818886002957286</v>
      </c>
      <c r="M16" s="49">
        <f t="shared" si="22"/>
        <v>0.0012588742651125646</v>
      </c>
      <c r="N16" s="49">
        <f t="shared" si="23"/>
        <v>0.13976994672132462</v>
      </c>
      <c r="O16" s="49">
        <f t="shared" si="7"/>
        <v>0.15726526722148973</v>
      </c>
      <c r="P16" s="205">
        <f t="shared" si="8"/>
        <v>4.505590279746455</v>
      </c>
      <c r="Q16" s="49">
        <f t="shared" si="9"/>
        <v>0.3</v>
      </c>
      <c r="R16" s="197">
        <f t="shared" si="10"/>
        <v>0.42501816788521785</v>
      </c>
      <c r="S16" s="53">
        <f t="shared" si="11"/>
        <v>3.2453947331496886</v>
      </c>
      <c r="T16" s="49">
        <f t="shared" si="12"/>
        <v>1.7137331120351345</v>
      </c>
      <c r="U16" s="49">
        <f t="shared" si="13"/>
        <v>3.031661621114554</v>
      </c>
      <c r="V16" s="54">
        <f t="shared" si="14"/>
        <v>2.7546052668503114</v>
      </c>
      <c r="W16" s="97">
        <f t="shared" si="15"/>
        <v>-7.644341559666806</v>
      </c>
      <c r="X16" s="25">
        <f aca="true" t="shared" si="28" ref="X16:X34">(V17-V15)/2</f>
        <v>-0.16534359364999185</v>
      </c>
      <c r="Y16" s="23">
        <f t="shared" si="16"/>
        <v>6.483617795517881</v>
      </c>
      <c r="Z16" s="23">
        <f t="shared" si="17"/>
        <v>1.978027515771426</v>
      </c>
      <c r="AA16" s="205">
        <f>ERF(AH16)+ERF(AI16)-1</f>
        <v>0.5709729687080711</v>
      </c>
      <c r="AB16" s="52">
        <f t="shared" si="18"/>
        <v>6</v>
      </c>
      <c r="AC16" s="223">
        <f t="shared" si="24"/>
        <v>0.086</v>
      </c>
      <c r="AD16" s="224">
        <f aca="true" t="shared" si="29" ref="AD16:AD34">AD17</f>
        <v>7.9</v>
      </c>
      <c r="AE16" s="201">
        <f t="shared" si="25"/>
        <v>0</v>
      </c>
      <c r="AF16" s="205">
        <f t="shared" si="19"/>
        <v>0.9369365015481051</v>
      </c>
      <c r="AG16" s="225">
        <f>IF(ABS(AF16)&lt;10,SIGN(AF16)*ERF(ABS(AF16)),SIGN(AF16))</f>
        <v>0.8148381626613238</v>
      </c>
      <c r="AH16" s="193">
        <f t="shared" si="20"/>
        <v>1.1972056779912053</v>
      </c>
      <c r="AI16" s="193">
        <f t="shared" si="21"/>
        <v>0.676667325105005</v>
      </c>
    </row>
    <row r="17" spans="1:35" s="26" customFormat="1" ht="15" customHeight="1">
      <c r="A17" s="262">
        <f t="shared" si="26"/>
        <v>0.062000000000000006</v>
      </c>
      <c r="B17" s="271">
        <f aca="true" t="shared" si="30" ref="B17:B34">A17*$B$3</f>
        <v>-7.301177842565597</v>
      </c>
      <c r="C17" s="128">
        <f aca="true" t="shared" si="31" ref="C17:C34">A17*$Z$4</f>
        <v>0.0016709000000000001</v>
      </c>
      <c r="D17" s="143">
        <f aca="true" t="shared" si="32" ref="D17:D35">(0.187/$B$5)*10^6/(SQRT(B17^2+C17^2))</f>
        <v>73178.01481009419</v>
      </c>
      <c r="E17" s="143">
        <f t="shared" si="0"/>
        <v>8064.516129032258</v>
      </c>
      <c r="F17" s="105">
        <f t="shared" si="1"/>
        <v>76.6297652581333</v>
      </c>
      <c r="G17" s="105">
        <f t="shared" si="2"/>
        <v>86.38540759988328</v>
      </c>
      <c r="H17" s="50">
        <f t="shared" si="3"/>
        <v>2.153143929826083</v>
      </c>
      <c r="I17" s="49">
        <f t="shared" si="4"/>
        <v>0.22460089739285324</v>
      </c>
      <c r="J17" s="49">
        <f t="shared" si="27"/>
        <v>-0.09194479558884908</v>
      </c>
      <c r="K17" s="49">
        <f t="shared" si="5"/>
        <v>0.0029762874547162093</v>
      </c>
      <c r="L17" s="49">
        <f t="shared" si="6"/>
        <v>0.0009527400804341477</v>
      </c>
      <c r="M17" s="49">
        <f t="shared" si="22"/>
        <v>0.001229982381674853</v>
      </c>
      <c r="N17" s="49">
        <f t="shared" si="23"/>
        <v>0.13645918334265666</v>
      </c>
      <c r="O17" s="49">
        <f t="shared" si="7"/>
        <v>0.1739518608642549</v>
      </c>
      <c r="P17" s="205">
        <f t="shared" si="8"/>
        <v>4.505590279746455</v>
      </c>
      <c r="Q17" s="49">
        <f t="shared" si="9"/>
        <v>0.3</v>
      </c>
      <c r="R17" s="197">
        <f t="shared" si="10"/>
        <v>0.4264514165919788</v>
      </c>
      <c r="S17" s="53">
        <f t="shared" si="11"/>
        <v>3.41556002809826</v>
      </c>
      <c r="T17" s="49">
        <f t="shared" si="12"/>
        <v>1.7246008973928533</v>
      </c>
      <c r="U17" s="49">
        <f t="shared" si="13"/>
        <v>3.190959130705407</v>
      </c>
      <c r="V17" s="54">
        <f t="shared" si="14"/>
        <v>2.58443997190174</v>
      </c>
      <c r="W17" s="97">
        <f t="shared" si="15"/>
        <v>-7.656642593731285</v>
      </c>
      <c r="X17" s="25">
        <f t="shared" si="28"/>
        <v>-0.1751905513864569</v>
      </c>
      <c r="Y17" s="23">
        <f t="shared" si="16"/>
        <v>6.483617795517881</v>
      </c>
      <c r="Z17" s="23">
        <f t="shared" si="17"/>
        <v>1.978027515771426</v>
      </c>
      <c r="AA17" s="205">
        <f>ERF(AH17)+ERF(AI17)-1</f>
        <v>0.5521288814543492</v>
      </c>
      <c r="AB17" s="52">
        <f t="shared" si="18"/>
        <v>6</v>
      </c>
      <c r="AC17" s="223">
        <f t="shared" si="24"/>
        <v>0.086</v>
      </c>
      <c r="AD17" s="224">
        <f t="shared" si="29"/>
        <v>7.9</v>
      </c>
      <c r="AE17" s="201">
        <f t="shared" si="25"/>
        <v>0</v>
      </c>
      <c r="AF17" s="205">
        <f t="shared" si="19"/>
        <v>0.9154332736710583</v>
      </c>
      <c r="AG17" s="225">
        <f>IF(ABS(AF17)&lt;10,SIGN(AF17)*ERF(ABS(AF17)),SIGN(AF17))</f>
        <v>0.804547901520951</v>
      </c>
      <c r="AH17" s="193">
        <f t="shared" si="20"/>
        <v>1.1697291238522614</v>
      </c>
      <c r="AI17" s="193">
        <f t="shared" si="21"/>
        <v>0.6611374234898554</v>
      </c>
    </row>
    <row r="18" spans="1:35" s="26" customFormat="1" ht="15" customHeight="1">
      <c r="A18" s="262">
        <f t="shared" si="26"/>
        <v>0.065</v>
      </c>
      <c r="B18" s="271">
        <f t="shared" si="30"/>
        <v>-7.654460641399416</v>
      </c>
      <c r="C18" s="128">
        <f t="shared" si="31"/>
        <v>0.00175175</v>
      </c>
      <c r="D18" s="143">
        <f t="shared" si="32"/>
        <v>69800.56797270522</v>
      </c>
      <c r="E18" s="143">
        <f t="shared" si="0"/>
        <v>7692.307692307692</v>
      </c>
      <c r="F18" s="105">
        <f t="shared" si="1"/>
        <v>78.91460556529897</v>
      </c>
      <c r="G18" s="105">
        <f t="shared" si="2"/>
        <v>88.41850877620632</v>
      </c>
      <c r="H18" s="50">
        <f t="shared" si="3"/>
        <v>2.3051241982657533</v>
      </c>
      <c r="I18" s="49">
        <f t="shared" si="4"/>
        <v>0.23546868275057192</v>
      </c>
      <c r="J18" s="49">
        <f t="shared" si="27"/>
        <v>-0.09639373731089015</v>
      </c>
      <c r="K18" s="49">
        <f t="shared" si="5"/>
        <v>0.0032699154847829074</v>
      </c>
      <c r="L18" s="49">
        <f t="shared" si="6"/>
        <v>0.0011500519895163675</v>
      </c>
      <c r="M18" s="49">
        <f t="shared" si="22"/>
        <v>0.0012017000835265188</v>
      </c>
      <c r="N18" s="49">
        <f t="shared" si="23"/>
        <v>0.13322315506804563</v>
      </c>
      <c r="O18" s="49">
        <f t="shared" si="7"/>
        <v>0.1929297186204815</v>
      </c>
      <c r="P18" s="205">
        <f t="shared" si="8"/>
        <v>4.505590279746455</v>
      </c>
      <c r="Q18" s="49">
        <f t="shared" si="9"/>
        <v>0.3</v>
      </c>
      <c r="R18" s="197">
        <f t="shared" si="10"/>
        <v>0.42788002922823365</v>
      </c>
      <c r="S18" s="53">
        <f t="shared" si="11"/>
        <v>3.5957758359226024</v>
      </c>
      <c r="T18" s="49">
        <f t="shared" si="12"/>
        <v>1.7354686827505719</v>
      </c>
      <c r="U18" s="49">
        <f t="shared" si="13"/>
        <v>3.3603071531720303</v>
      </c>
      <c r="V18" s="54">
        <f t="shared" si="14"/>
        <v>2.4042241640773976</v>
      </c>
      <c r="W18" s="97">
        <f t="shared" si="15"/>
        <v>-7.668938991725259</v>
      </c>
      <c r="X18" s="25">
        <f t="shared" si="28"/>
        <v>-0.18549008155261837</v>
      </c>
      <c r="Y18" s="23">
        <f t="shared" si="16"/>
        <v>6.483617795517881</v>
      </c>
      <c r="Z18" s="23">
        <f t="shared" si="17"/>
        <v>1.978027515771426</v>
      </c>
      <c r="AA18" s="205">
        <f>ERF(AH18)+ERF(AI18)-1</f>
        <v>0.5329660892120587</v>
      </c>
      <c r="AB18" s="52">
        <f t="shared" si="18"/>
        <v>6</v>
      </c>
      <c r="AC18" s="223">
        <f t="shared" si="24"/>
        <v>0.086</v>
      </c>
      <c r="AD18" s="224">
        <f t="shared" si="29"/>
        <v>7.9</v>
      </c>
      <c r="AE18" s="201">
        <f t="shared" si="25"/>
        <v>0</v>
      </c>
      <c r="AF18" s="205">
        <f t="shared" si="19"/>
        <v>0.8943837390056791</v>
      </c>
      <c r="AG18" s="225">
        <f>IF(ABS(AF18)&lt;10,SIGN(AF18)*ERF(ABS(AF18)),SIGN(AF18))</f>
        <v>0.7940746470905173</v>
      </c>
      <c r="AH18" s="193">
        <f t="shared" si="20"/>
        <v>1.142832293193166</v>
      </c>
      <c r="AI18" s="193">
        <f t="shared" si="21"/>
        <v>0.6459351848181925</v>
      </c>
    </row>
    <row r="19" spans="1:35" s="26" customFormat="1" ht="15" customHeight="1">
      <c r="A19" s="262">
        <f t="shared" si="26"/>
        <v>0.068</v>
      </c>
      <c r="B19" s="271">
        <f t="shared" si="30"/>
        <v>-8.007743440233236</v>
      </c>
      <c r="C19" s="128">
        <f t="shared" si="31"/>
        <v>0.0018326</v>
      </c>
      <c r="D19" s="143">
        <f t="shared" si="32"/>
        <v>66721.13115037998</v>
      </c>
      <c r="E19" s="143">
        <f t="shared" si="0"/>
        <v>7352.941176470587</v>
      </c>
      <c r="F19" s="105">
        <f t="shared" si="1"/>
        <v>81.23853328022082</v>
      </c>
      <c r="G19" s="105">
        <f t="shared" si="2"/>
        <v>90.49871276544714</v>
      </c>
      <c r="H19" s="50">
        <f t="shared" si="3"/>
        <v>2.4648133989190395</v>
      </c>
      <c r="I19" s="49">
        <f t="shared" si="4"/>
        <v>0.24633646810829063</v>
      </c>
      <c r="J19" s="49">
        <f t="shared" si="27"/>
        <v>-0.10084267903293126</v>
      </c>
      <c r="K19" s="49">
        <f t="shared" si="5"/>
        <v>0.003577152076176974</v>
      </c>
      <c r="L19" s="49">
        <f t="shared" si="6"/>
        <v>0.0013763911043744202</v>
      </c>
      <c r="M19" s="49">
        <f t="shared" si="22"/>
        <v>0.0011740777977366451</v>
      </c>
      <c r="N19" s="49">
        <f t="shared" si="23"/>
        <v>0.13006729281722534</v>
      </c>
      <c r="O19" s="49">
        <f t="shared" si="7"/>
        <v>0.21457492474732653</v>
      </c>
      <c r="P19" s="205">
        <f t="shared" si="8"/>
        <v>4.505590279746455</v>
      </c>
      <c r="Q19" s="49">
        <f t="shared" si="9"/>
        <v>0.3</v>
      </c>
      <c r="R19" s="197">
        <f t="shared" si="10"/>
        <v>0.4293717155072403</v>
      </c>
      <c r="S19" s="53">
        <f t="shared" si="11"/>
        <v>3.7865401912034966</v>
      </c>
      <c r="T19" s="49">
        <f t="shared" si="12"/>
        <v>1.7463364681082907</v>
      </c>
      <c r="U19" s="49">
        <f t="shared" si="13"/>
        <v>3.540203723095206</v>
      </c>
      <c r="V19" s="54">
        <f t="shared" si="14"/>
        <v>2.2134598087965034</v>
      </c>
      <c r="W19" s="97">
        <f t="shared" si="15"/>
        <v>-7.681298463361984</v>
      </c>
      <c r="X19" s="25">
        <f t="shared" si="28"/>
        <v>-0.19634425645604758</v>
      </c>
      <c r="Y19" s="23">
        <f t="shared" si="16"/>
        <v>6.483617795517881</v>
      </c>
      <c r="Z19" s="23">
        <f t="shared" si="17"/>
        <v>1.978027515771426</v>
      </c>
      <c r="AA19" s="205">
        <f>ERF(AH19)+ERF(AI19)-1</f>
        <v>0.5135485278011365</v>
      </c>
      <c r="AB19" s="52">
        <f t="shared" si="18"/>
        <v>6</v>
      </c>
      <c r="AC19" s="223">
        <f t="shared" si="24"/>
        <v>0.086</v>
      </c>
      <c r="AD19" s="224">
        <f t="shared" si="29"/>
        <v>7.9</v>
      </c>
      <c r="AE19" s="201">
        <f t="shared" si="25"/>
        <v>0</v>
      </c>
      <c r="AF19" s="205">
        <f t="shared" si="19"/>
        <v>0.8738254286724291</v>
      </c>
      <c r="AG19" s="225">
        <f>IF(ABS(AF19)&lt;10,SIGN(AF19)*ERF(ABS(AF19)),SIGN(AF19))</f>
        <v>0.7834579646928301</v>
      </c>
      <c r="AH19" s="193">
        <f t="shared" si="20"/>
        <v>1.1165631428076224</v>
      </c>
      <c r="AI19" s="193">
        <f t="shared" si="21"/>
        <v>0.6310877145372358</v>
      </c>
    </row>
    <row r="20" spans="1:35" s="20" customFormat="1" ht="15" customHeight="1">
      <c r="A20" s="261">
        <f t="shared" si="26"/>
        <v>0.07100000000000001</v>
      </c>
      <c r="B20" s="270">
        <f t="shared" si="30"/>
        <v>-8.361026239067055</v>
      </c>
      <c r="C20" s="127">
        <f t="shared" si="31"/>
        <v>0.0019134500000000001</v>
      </c>
      <c r="D20" s="142">
        <f t="shared" si="32"/>
        <v>63901.92842571605</v>
      </c>
      <c r="E20" s="142">
        <f t="shared" si="0"/>
        <v>7042.25352112676</v>
      </c>
      <c r="F20" s="104">
        <f t="shared" si="1"/>
        <v>83.59828872352057</v>
      </c>
      <c r="G20" s="104">
        <f t="shared" si="2"/>
        <v>92.62284599483253</v>
      </c>
      <c r="H20" s="98">
        <f t="shared" si="3"/>
        <v>2.6322844322616086</v>
      </c>
      <c r="I20" s="95">
        <f t="shared" si="4"/>
        <v>0.25720425346600934</v>
      </c>
      <c r="J20" s="95">
        <f t="shared" si="27"/>
        <v>-0.10529162075497234</v>
      </c>
      <c r="K20" s="95">
        <f t="shared" si="5"/>
        <v>0.0038979609792266193</v>
      </c>
      <c r="L20" s="95">
        <f t="shared" si="6"/>
        <v>0.0016344356465088667</v>
      </c>
      <c r="M20" s="95">
        <f t="shared" si="22"/>
        <v>0.0011471525004488122</v>
      </c>
      <c r="N20" s="95">
        <f t="shared" si="23"/>
        <v>0.12699546997934688</v>
      </c>
      <c r="O20" s="95">
        <f t="shared" si="7"/>
        <v>0.2393470575391262</v>
      </c>
      <c r="P20" s="207">
        <f t="shared" si="8"/>
        <v>4.505590279746455</v>
      </c>
      <c r="Q20" s="95">
        <f t="shared" si="9"/>
        <v>0.3</v>
      </c>
      <c r="R20" s="196">
        <f t="shared" si="10"/>
        <v>0.43099869994209783</v>
      </c>
      <c r="S20" s="96">
        <f t="shared" si="11"/>
        <v>3.9884643488346976</v>
      </c>
      <c r="T20" s="95">
        <f t="shared" si="12"/>
        <v>1.7572042534660093</v>
      </c>
      <c r="U20" s="95">
        <f t="shared" si="13"/>
        <v>3.7312600953686883</v>
      </c>
      <c r="V20" s="100">
        <f t="shared" si="14"/>
        <v>2.0115356511653024</v>
      </c>
      <c r="W20" s="101">
        <f t="shared" si="15"/>
        <v>-7.69379323315456</v>
      </c>
      <c r="X20" s="27">
        <f t="shared" si="28"/>
        <v>-0.20788195294899992</v>
      </c>
      <c r="Y20" s="18">
        <f t="shared" si="16"/>
        <v>6.483617795517881</v>
      </c>
      <c r="Z20" s="18">
        <f t="shared" si="17"/>
        <v>1.978027515771426</v>
      </c>
      <c r="AA20" s="207">
        <f>ERF(AH20)+ERF(AI20)-1</f>
        <v>0.4939371445793519</v>
      </c>
      <c r="AB20" s="99">
        <f t="shared" si="18"/>
        <v>6</v>
      </c>
      <c r="AC20" s="226">
        <f t="shared" si="24"/>
        <v>0.086</v>
      </c>
      <c r="AD20" s="227">
        <f t="shared" si="29"/>
        <v>7.9</v>
      </c>
      <c r="AE20" s="228">
        <f t="shared" si="25"/>
        <v>0</v>
      </c>
      <c r="AF20" s="207">
        <f t="shared" si="19"/>
        <v>0.8537858627339284</v>
      </c>
      <c r="AG20" s="229">
        <f>IF(ABS(AF20)&lt;10,SIGN(AF20)*ERF(ABS(AF20)),SIGN(AF20))</f>
        <v>0.7727354312526802</v>
      </c>
      <c r="AH20" s="191">
        <f t="shared" si="20"/>
        <v>1.0909568374855318</v>
      </c>
      <c r="AI20" s="191">
        <f t="shared" si="21"/>
        <v>0.616614887982325</v>
      </c>
    </row>
    <row r="21" spans="1:35" s="26" customFormat="1" ht="15" customHeight="1">
      <c r="A21" s="262">
        <f t="shared" si="26"/>
        <v>0.07400000000000001</v>
      </c>
      <c r="B21" s="271">
        <f t="shared" si="30"/>
        <v>-8.714309037900874</v>
      </c>
      <c r="C21" s="128">
        <f t="shared" si="31"/>
        <v>0.0019943</v>
      </c>
      <c r="D21" s="143">
        <f t="shared" si="32"/>
        <v>61311.3097057546</v>
      </c>
      <c r="E21" s="143">
        <f t="shared" si="0"/>
        <v>6756.756756756756</v>
      </c>
      <c r="F21" s="105">
        <f t="shared" si="1"/>
        <v>85.99092240152675</v>
      </c>
      <c r="G21" s="105">
        <f t="shared" si="2"/>
        <v>94.78795523771338</v>
      </c>
      <c r="H21" s="50">
        <f t="shared" si="3"/>
        <v>2.8076445100101894</v>
      </c>
      <c r="I21" s="49">
        <f t="shared" si="4"/>
        <v>0.26807203882372804</v>
      </c>
      <c r="J21" s="49">
        <f t="shared" si="27"/>
        <v>-0.10974056247701341</v>
      </c>
      <c r="K21" s="49">
        <f t="shared" si="5"/>
        <v>0.004232304365704323</v>
      </c>
      <c r="L21" s="49">
        <f t="shared" si="6"/>
        <v>0.001926974136336836</v>
      </c>
      <c r="M21" s="49">
        <f t="shared" si="22"/>
        <v>0.001120949693610255</v>
      </c>
      <c r="N21" s="49">
        <f t="shared" si="23"/>
        <v>0.1240102401687932</v>
      </c>
      <c r="O21" s="49">
        <f t="shared" si="7"/>
        <v>0.267813080089558</v>
      </c>
      <c r="P21" s="205">
        <f t="shared" si="8"/>
        <v>4.505590279746455</v>
      </c>
      <c r="Q21" s="49">
        <f t="shared" si="9"/>
        <v>0.3</v>
      </c>
      <c r="R21" s="197">
        <f t="shared" si="10"/>
        <v>0.43283725387289174</v>
      </c>
      <c r="S21" s="53">
        <f t="shared" si="11"/>
        <v>4.202304097101496</v>
      </c>
      <c r="T21" s="49">
        <f t="shared" si="12"/>
        <v>1.768072038823728</v>
      </c>
      <c r="U21" s="49">
        <f t="shared" si="13"/>
        <v>3.9342320582777686</v>
      </c>
      <c r="V21" s="54">
        <f t="shared" si="14"/>
        <v>1.7976959028985036</v>
      </c>
      <c r="W21" s="97">
        <f t="shared" si="15"/>
        <v>-7.706499572443073</v>
      </c>
      <c r="X21" s="25">
        <f t="shared" si="28"/>
        <v>-0.22026648127101423</v>
      </c>
      <c r="Y21" s="23">
        <f t="shared" si="16"/>
        <v>6.483617795517881</v>
      </c>
      <c r="Z21" s="23">
        <f t="shared" si="17"/>
        <v>1.978027515771426</v>
      </c>
      <c r="AA21" s="205">
        <f>ERF(AH21)+ERF(AI21)-1</f>
        <v>0.4741893804038477</v>
      </c>
      <c r="AB21" s="52">
        <f t="shared" si="18"/>
        <v>6</v>
      </c>
      <c r="AC21" s="223">
        <f t="shared" si="24"/>
        <v>0.086</v>
      </c>
      <c r="AD21" s="224">
        <f t="shared" si="29"/>
        <v>7.9</v>
      </c>
      <c r="AE21" s="201">
        <f t="shared" si="25"/>
        <v>0</v>
      </c>
      <c r="AF21" s="205">
        <f t="shared" si="19"/>
        <v>0.8342840214059836</v>
      </c>
      <c r="AG21" s="225">
        <f>IF(ABS(AF21)&lt;10,SIGN(AF21)*ERF(ABS(AF21)),SIGN(AF21))</f>
        <v>0.7619422498131945</v>
      </c>
      <c r="AH21" s="193">
        <f t="shared" si="20"/>
        <v>1.0660376299079408</v>
      </c>
      <c r="AI21" s="193">
        <f t="shared" si="21"/>
        <v>0.6025304129040263</v>
      </c>
    </row>
    <row r="22" spans="1:35" s="26" customFormat="1" ht="15" customHeight="1">
      <c r="A22" s="262">
        <f t="shared" si="26"/>
        <v>0.07700000000000001</v>
      </c>
      <c r="B22" s="271">
        <f t="shared" si="30"/>
        <v>-9.067591836734694</v>
      </c>
      <c r="C22" s="128">
        <f t="shared" si="31"/>
        <v>0.00207515</v>
      </c>
      <c r="D22" s="143">
        <f t="shared" si="32"/>
        <v>58922.55737955635</v>
      </c>
      <c r="E22" s="143">
        <f t="shared" si="0"/>
        <v>6493.506493506492</v>
      </c>
      <c r="F22" s="105">
        <f t="shared" si="1"/>
        <v>88.41376512407112</v>
      </c>
      <c r="G22" s="105">
        <f t="shared" si="2"/>
        <v>96.99129644507167</v>
      </c>
      <c r="H22" s="50">
        <f t="shared" si="3"/>
        <v>2.9910385118388794</v>
      </c>
      <c r="I22" s="49">
        <f t="shared" si="4"/>
        <v>0.2789398241814468</v>
      </c>
      <c r="J22" s="49">
        <f t="shared" si="27"/>
        <v>-0.1141895041990545</v>
      </c>
      <c r="K22" s="49">
        <f t="shared" si="5"/>
        <v>0.004580142836260716</v>
      </c>
      <c r="L22" s="49">
        <f t="shared" si="6"/>
        <v>0.0022569042418701035</v>
      </c>
      <c r="M22" s="49">
        <f t="shared" si="22"/>
        <v>0.001095485195847759</v>
      </c>
      <c r="N22" s="49">
        <f t="shared" si="23"/>
        <v>0.12111305115553057</v>
      </c>
      <c r="O22" s="49">
        <f t="shared" si="7"/>
        <v>0.3006793744963681</v>
      </c>
      <c r="P22" s="205">
        <f t="shared" si="8"/>
        <v>4.505590279746455</v>
      </c>
      <c r="Q22" s="49">
        <f t="shared" si="9"/>
        <v>0.3</v>
      </c>
      <c r="R22" s="197">
        <f t="shared" si="10"/>
        <v>0.4349696454626306</v>
      </c>
      <c r="S22" s="53">
        <f t="shared" si="11"/>
        <v>4.428997311376726</v>
      </c>
      <c r="T22" s="49">
        <f t="shared" si="12"/>
        <v>1.778939824181447</v>
      </c>
      <c r="U22" s="49">
        <f t="shared" si="13"/>
        <v>4.150057487195279</v>
      </c>
      <c r="V22" s="54">
        <f t="shared" si="14"/>
        <v>1.571002688623274</v>
      </c>
      <c r="W22" s="97">
        <f t="shared" si="15"/>
        <v>-7.719499749390531</v>
      </c>
      <c r="X22" s="25">
        <f t="shared" si="28"/>
        <v>-0.23370697761171932</v>
      </c>
      <c r="Y22" s="23">
        <f t="shared" si="16"/>
        <v>6.483617795517881</v>
      </c>
      <c r="Z22" s="23">
        <f t="shared" si="17"/>
        <v>1.978027515771426</v>
      </c>
      <c r="AA22" s="205">
        <f>ERF(AH22)+ERF(AI22)-1</f>
        <v>0.4543590515113456</v>
      </c>
      <c r="AB22" s="52">
        <f t="shared" si="18"/>
        <v>6</v>
      </c>
      <c r="AC22" s="223">
        <f t="shared" si="24"/>
        <v>0.086</v>
      </c>
      <c r="AD22" s="224">
        <f t="shared" si="29"/>
        <v>7.9</v>
      </c>
      <c r="AE22" s="201">
        <f t="shared" si="25"/>
        <v>0</v>
      </c>
      <c r="AF22" s="205">
        <f t="shared" si="19"/>
        <v>0.8153316779444708</v>
      </c>
      <c r="AG22" s="225">
        <f>IF(ABS(AF22)&lt;10,SIGN(AF22)*ERF(ABS(AF22)),SIGN(AF22))</f>
        <v>0.7511112403075473</v>
      </c>
      <c r="AH22" s="193">
        <f t="shared" si="20"/>
        <v>1.0418205637931381</v>
      </c>
      <c r="AI22" s="193">
        <f t="shared" si="21"/>
        <v>0.5888427920958037</v>
      </c>
    </row>
    <row r="23" spans="1:35" s="26" customFormat="1" ht="15" customHeight="1">
      <c r="A23" s="262">
        <f t="shared" si="26"/>
        <v>0.08000000000000002</v>
      </c>
      <c r="B23" s="271">
        <f t="shared" si="30"/>
        <v>-9.420874635568513</v>
      </c>
      <c r="C23" s="128">
        <f t="shared" si="31"/>
        <v>0.0021560000000000004</v>
      </c>
      <c r="D23" s="143">
        <f t="shared" si="32"/>
        <v>56712.96147782299</v>
      </c>
      <c r="E23" s="143">
        <f t="shared" si="0"/>
        <v>6249.999999999999</v>
      </c>
      <c r="F23" s="105">
        <f t="shared" si="1"/>
        <v>90.86440040713504</v>
      </c>
      <c r="G23" s="105">
        <f t="shared" si="2"/>
        <v>99.23032290600247</v>
      </c>
      <c r="H23" s="50">
        <f t="shared" si="3"/>
        <v>3.182660671212283</v>
      </c>
      <c r="I23" s="49">
        <f t="shared" si="4"/>
        <v>0.2898076095391655</v>
      </c>
      <c r="J23" s="49">
        <f t="shared" si="27"/>
        <v>-0.1186384459210956</v>
      </c>
      <c r="K23" s="49">
        <f t="shared" si="5"/>
        <v>0.004941435428162464</v>
      </c>
      <c r="L23" s="49">
        <f t="shared" si="6"/>
        <v>0.0026272316272939657</v>
      </c>
      <c r="M23" s="49">
        <f t="shared" si="22"/>
        <v>0.0010707667401456187</v>
      </c>
      <c r="N23" s="49">
        <f t="shared" si="23"/>
        <v>0.11830443447717297</v>
      </c>
      <c r="O23" s="49">
        <f t="shared" si="7"/>
        <v>0.33883656933020606</v>
      </c>
      <c r="P23" s="205">
        <f t="shared" si="8"/>
        <v>4.505590279746455</v>
      </c>
      <c r="Q23" s="49">
        <f t="shared" si="9"/>
        <v>0.3</v>
      </c>
      <c r="R23" s="197">
        <f t="shared" si="10"/>
        <v>0.4374815361388129</v>
      </c>
      <c r="S23" s="53">
        <f t="shared" si="11"/>
        <v>4.669718052324935</v>
      </c>
      <c r="T23" s="49">
        <f t="shared" si="12"/>
        <v>1.7898076095391655</v>
      </c>
      <c r="U23" s="49">
        <f t="shared" si="13"/>
        <v>4.37991044278577</v>
      </c>
      <c r="V23" s="54">
        <f t="shared" si="14"/>
        <v>1.330281947675065</v>
      </c>
      <c r="W23" s="97">
        <f t="shared" si="15"/>
        <v>-7.732879425424432</v>
      </c>
      <c r="X23" s="25">
        <f t="shared" si="28"/>
        <v>-0.24847431836953993</v>
      </c>
      <c r="Y23" s="23">
        <f t="shared" si="16"/>
        <v>6.483617795517881</v>
      </c>
      <c r="Z23" s="23">
        <f t="shared" si="17"/>
        <v>1.978027515771426</v>
      </c>
      <c r="AA23" s="205">
        <f>ERF(AH23)+ERF(AI23)-1</f>
        <v>0.4344959966050377</v>
      </c>
      <c r="AB23" s="52">
        <f t="shared" si="18"/>
        <v>6</v>
      </c>
      <c r="AC23" s="223">
        <f t="shared" si="24"/>
        <v>0.086</v>
      </c>
      <c r="AD23" s="224">
        <f t="shared" si="29"/>
        <v>7.9</v>
      </c>
      <c r="AE23" s="201">
        <f t="shared" si="25"/>
        <v>0</v>
      </c>
      <c r="AF23" s="205">
        <f t="shared" si="19"/>
        <v>0.7969345877416901</v>
      </c>
      <c r="AG23" s="225">
        <f>IF(ABS(AF23)&lt;10,SIGN(AF23)*ERF(ABS(AF23)),SIGN(AF23))</f>
        <v>0.7402724280990308</v>
      </c>
      <c r="AH23" s="193">
        <f t="shared" si="20"/>
        <v>1.0183129933090196</v>
      </c>
      <c r="AI23" s="193">
        <f t="shared" si="21"/>
        <v>0.5755561821743608</v>
      </c>
    </row>
    <row r="24" spans="1:35" s="26" customFormat="1" ht="15" customHeight="1">
      <c r="A24" s="262">
        <f t="shared" si="26"/>
        <v>0.08300000000000002</v>
      </c>
      <c r="B24" s="271">
        <f t="shared" si="30"/>
        <v>-9.774157434402333</v>
      </c>
      <c r="C24" s="128">
        <f t="shared" si="31"/>
        <v>0.0022368500000000003</v>
      </c>
      <c r="D24" s="143">
        <f t="shared" si="32"/>
        <v>54663.095400311315</v>
      </c>
      <c r="E24" s="143">
        <f t="shared" si="0"/>
        <v>6024.096385542167</v>
      </c>
      <c r="F24" s="105">
        <f t="shared" si="1"/>
        <v>93.34063921608121</v>
      </c>
      <c r="G24" s="105">
        <f t="shared" si="2"/>
        <v>101.50267312710537</v>
      </c>
      <c r="H24" s="50">
        <f t="shared" si="3"/>
        <v>3.382759001581701</v>
      </c>
      <c r="I24" s="49">
        <f t="shared" si="4"/>
        <v>0.3006753948968842</v>
      </c>
      <c r="J24" s="49">
        <f t="shared" si="27"/>
        <v>-0.12308738764313669</v>
      </c>
      <c r="K24" s="49">
        <f t="shared" si="5"/>
        <v>0.005316139623331771</v>
      </c>
      <c r="L24" s="49">
        <f t="shared" si="6"/>
        <v>0.003041068807081678</v>
      </c>
      <c r="M24" s="49">
        <f t="shared" si="22"/>
        <v>0.0010467953809315356</v>
      </c>
      <c r="N24" s="49">
        <f t="shared" si="23"/>
        <v>0.1155841713810366</v>
      </c>
      <c r="O24" s="49">
        <f t="shared" si="7"/>
        <v>0.3834219967017346</v>
      </c>
      <c r="P24" s="205">
        <f t="shared" si="8"/>
        <v>4.505590279746455</v>
      </c>
      <c r="Q24" s="49">
        <f t="shared" si="9"/>
        <v>0.3</v>
      </c>
      <c r="R24" s="197">
        <f t="shared" si="10"/>
        <v>0.44046431474736814</v>
      </c>
      <c r="S24" s="53">
        <f t="shared" si="11"/>
        <v>4.925945948115806</v>
      </c>
      <c r="T24" s="49">
        <f t="shared" si="12"/>
        <v>1.800675394896884</v>
      </c>
      <c r="U24" s="49">
        <f t="shared" si="13"/>
        <v>4.625270553218922</v>
      </c>
      <c r="V24" s="54">
        <f t="shared" si="14"/>
        <v>1.0740540518841941</v>
      </c>
      <c r="W24" s="97">
        <f t="shared" si="15"/>
        <v>-7.746729989390706</v>
      </c>
      <c r="X24" s="25">
        <f t="shared" si="28"/>
        <v>-0.2649255084774609</v>
      </c>
      <c r="Y24" s="23">
        <f t="shared" si="16"/>
        <v>6.483617795517881</v>
      </c>
      <c r="Z24" s="23">
        <f t="shared" si="17"/>
        <v>1.978027515771426</v>
      </c>
      <c r="AA24" s="205">
        <f>ERF(AH24)+ERF(AI24)-1</f>
        <v>0.4146461796598382</v>
      </c>
      <c r="AB24" s="52">
        <f t="shared" si="18"/>
        <v>6</v>
      </c>
      <c r="AC24" s="223">
        <f t="shared" si="24"/>
        <v>0.086</v>
      </c>
      <c r="AD24" s="224">
        <f t="shared" si="29"/>
        <v>7.9</v>
      </c>
      <c r="AE24" s="201">
        <f t="shared" si="25"/>
        <v>0</v>
      </c>
      <c r="AF24" s="205">
        <f t="shared" si="19"/>
        <v>0.7790935355716485</v>
      </c>
      <c r="AG24" s="225">
        <f>IF(ABS(AF24)&lt;10,SIGN(AF24)*ERF(ABS(AF24)),SIGN(AF24))</f>
        <v>0.7294531922586404</v>
      </c>
      <c r="AH24" s="193">
        <f t="shared" si="20"/>
        <v>0.9955159212299418</v>
      </c>
      <c r="AI24" s="193">
        <f t="shared" si="21"/>
        <v>0.5626711499133553</v>
      </c>
    </row>
    <row r="25" spans="1:35" s="20" customFormat="1" ht="15" customHeight="1">
      <c r="A25" s="261">
        <f t="shared" si="26"/>
        <v>0.08600000000000002</v>
      </c>
      <c r="B25" s="270">
        <f t="shared" si="30"/>
        <v>-10.127440233236152</v>
      </c>
      <c r="C25" s="127">
        <f t="shared" si="31"/>
        <v>0.0023177000000000002</v>
      </c>
      <c r="D25" s="142">
        <f t="shared" si="32"/>
        <v>52756.24323518417</v>
      </c>
      <c r="E25" s="142">
        <f t="shared" si="0"/>
        <v>5813.953488372092</v>
      </c>
      <c r="F25" s="104">
        <f t="shared" si="1"/>
        <v>95.84049701024011</v>
      </c>
      <c r="G25" s="104">
        <f t="shared" si="2"/>
        <v>103.80615872794448</v>
      </c>
      <c r="H25" s="98">
        <f t="shared" si="3"/>
        <v>3.591644549837377</v>
      </c>
      <c r="I25" s="95">
        <f t="shared" si="4"/>
        <v>0.3115431802546029</v>
      </c>
      <c r="J25" s="95">
        <f t="shared" si="27"/>
        <v>-0.12753632936517778</v>
      </c>
      <c r="K25" s="95">
        <f t="shared" si="5"/>
        <v>0.0057042113566854145</v>
      </c>
      <c r="L25" s="95">
        <f t="shared" si="6"/>
        <v>0.003501634011358023</v>
      </c>
      <c r="M25" s="95">
        <f t="shared" si="22"/>
        <v>0.0010235667197755034</v>
      </c>
      <c r="N25" s="95">
        <f t="shared" si="23"/>
        <v>0.11295143648010275</v>
      </c>
      <c r="O25" s="95">
        <f t="shared" si="7"/>
        <v>0.4359105259731608</v>
      </c>
      <c r="P25" s="207">
        <f t="shared" si="8"/>
        <v>4.505590279746455</v>
      </c>
      <c r="Q25" s="95">
        <f t="shared" si="9"/>
        <v>0.3</v>
      </c>
      <c r="R25" s="196">
        <f t="shared" si="10"/>
        <v>0.4440177427232559</v>
      </c>
      <c r="S25" s="96">
        <f t="shared" si="11"/>
        <v>5.199569069279857</v>
      </c>
      <c r="T25" s="95">
        <f t="shared" si="12"/>
        <v>1.811543180254603</v>
      </c>
      <c r="U25" s="95">
        <f t="shared" si="13"/>
        <v>4.888025889025254</v>
      </c>
      <c r="V25" s="100">
        <f t="shared" si="14"/>
        <v>0.8004309307201432</v>
      </c>
      <c r="W25" s="101">
        <f t="shared" si="15"/>
        <v>-7.761151202724312</v>
      </c>
      <c r="X25" s="27">
        <f t="shared" si="28"/>
        <v>-0.2835412181354342</v>
      </c>
      <c r="Y25" s="18">
        <f t="shared" si="16"/>
        <v>6.483617795517881</v>
      </c>
      <c r="Z25" s="18">
        <f t="shared" si="17"/>
        <v>1.978027515771426</v>
      </c>
      <c r="AA25" s="207">
        <f>ERF(AH25)+ERF(AI25)-1</f>
        <v>0.39485148049984664</v>
      </c>
      <c r="AB25" s="99">
        <f t="shared" si="18"/>
        <v>6</v>
      </c>
      <c r="AC25" s="226">
        <f t="shared" si="24"/>
        <v>0.086</v>
      </c>
      <c r="AD25" s="227">
        <f t="shared" si="29"/>
        <v>7.9</v>
      </c>
      <c r="AE25" s="228">
        <f t="shared" si="25"/>
        <v>0.8004309307201432</v>
      </c>
      <c r="AF25" s="207">
        <f t="shared" si="19"/>
        <v>0.7618052478352773</v>
      </c>
      <c r="AG25" s="229">
        <f>IF(ABS(AF25)&lt;10,SIGN(AF25)*ERF(ABS(AF25)),SIGN(AF25))</f>
        <v>0.7186782296649679</v>
      </c>
      <c r="AH25" s="191">
        <f t="shared" si="20"/>
        <v>0.9734251645921861</v>
      </c>
      <c r="AI25" s="191">
        <f t="shared" si="21"/>
        <v>0.5501853310783684</v>
      </c>
    </row>
    <row r="26" spans="1:35" s="26" customFormat="1" ht="15" customHeight="1">
      <c r="A26" s="262">
        <f t="shared" si="26"/>
        <v>0.08900000000000002</v>
      </c>
      <c r="B26" s="271">
        <f t="shared" si="30"/>
        <v>-10.480723032069973</v>
      </c>
      <c r="C26" s="128">
        <f t="shared" si="31"/>
        <v>0.0023985500000000006</v>
      </c>
      <c r="D26" s="143">
        <f t="shared" si="32"/>
        <v>50977.94290141392</v>
      </c>
      <c r="E26" s="143">
        <f t="shared" si="0"/>
        <v>5617.977528089886</v>
      </c>
      <c r="F26" s="105">
        <f t="shared" si="1"/>
        <v>98.36217298869408</v>
      </c>
      <c r="G26" s="105">
        <f t="shared" si="2"/>
        <v>106.138752572937</v>
      </c>
      <c r="H26" s="50">
        <f t="shared" si="3"/>
        <v>3.8097011343386935</v>
      </c>
      <c r="I26" s="49">
        <f t="shared" si="4"/>
        <v>0.32241096561232163</v>
      </c>
      <c r="J26" s="49">
        <f t="shared" si="27"/>
        <v>-0.13198527108721886</v>
      </c>
      <c r="K26" s="49">
        <f t="shared" si="5"/>
        <v>0.0061056050247710785</v>
      </c>
      <c r="L26" s="49">
        <f t="shared" si="6"/>
        <v>0.004012250068367878</v>
      </c>
      <c r="M26" s="49">
        <f t="shared" si="22"/>
        <v>0.0010010719629349534</v>
      </c>
      <c r="N26" s="49">
        <f t="shared" si="23"/>
        <v>0.11040492093577396</v>
      </c>
      <c r="O26" s="49">
        <f t="shared" si="7"/>
        <v>0.4982480685318054</v>
      </c>
      <c r="P26" s="205">
        <f t="shared" si="8"/>
        <v>4.505590279746455</v>
      </c>
      <c r="Q26" s="49">
        <f t="shared" si="9"/>
        <v>0.3</v>
      </c>
      <c r="R26" s="197">
        <f t="shared" si="10"/>
        <v>0.44825104489971235</v>
      </c>
      <c r="S26" s="53">
        <f t="shared" si="11"/>
        <v>5.493028384386674</v>
      </c>
      <c r="T26" s="49">
        <f t="shared" si="12"/>
        <v>1.8224109656123217</v>
      </c>
      <c r="U26" s="49">
        <f t="shared" si="13"/>
        <v>5.170617418774353</v>
      </c>
      <c r="V26" s="54">
        <f t="shared" si="14"/>
        <v>0.5069716156133257</v>
      </c>
      <c r="W26" s="97">
        <f t="shared" si="15"/>
        <v>-7.776252290258487</v>
      </c>
      <c r="X26" s="25">
        <f t="shared" si="28"/>
        <v>-0.30498292676009475</v>
      </c>
      <c r="Y26" s="23">
        <f t="shared" si="16"/>
        <v>6.483617795517881</v>
      </c>
      <c r="Z26" s="23">
        <f t="shared" si="17"/>
        <v>1.978027515771426</v>
      </c>
      <c r="AA26" s="205">
        <f>ERF(AH26)+ERF(AI26)-1</f>
        <v>0.3751498542658127</v>
      </c>
      <c r="AB26" s="52">
        <f t="shared" si="18"/>
        <v>6</v>
      </c>
      <c r="AC26" s="223">
        <f t="shared" si="24"/>
        <v>0.086</v>
      </c>
      <c r="AD26" s="224">
        <f t="shared" si="29"/>
        <v>7.9</v>
      </c>
      <c r="AE26" s="201">
        <f t="shared" si="25"/>
        <v>0</v>
      </c>
      <c r="AF26" s="205">
        <f t="shared" si="19"/>
        <v>0.7450631796546431</v>
      </c>
      <c r="AG26" s="225">
        <f>IF(ABS(AF26)&lt;10,SIGN(AF26)*ERF(ABS(AF26)),SIGN(AF26))</f>
        <v>0.707969616466922</v>
      </c>
      <c r="AH26" s="193">
        <f t="shared" si="20"/>
        <v>0.9520323604330432</v>
      </c>
      <c r="AI26" s="193">
        <f t="shared" si="21"/>
        <v>0.538093998876243</v>
      </c>
    </row>
    <row r="27" spans="1:35" s="26" customFormat="1" ht="15" customHeight="1">
      <c r="A27" s="262">
        <f t="shared" si="26"/>
        <v>0.09200000000000003</v>
      </c>
      <c r="B27" s="271">
        <f t="shared" si="30"/>
        <v>-10.834005830903791</v>
      </c>
      <c r="C27" s="128">
        <f t="shared" si="31"/>
        <v>0.0024794000000000005</v>
      </c>
      <c r="D27" s="143">
        <f t="shared" si="32"/>
        <v>49315.61867636781</v>
      </c>
      <c r="E27" s="143">
        <f t="shared" si="0"/>
        <v>5434.78260869565</v>
      </c>
      <c r="F27" s="105">
        <f t="shared" si="1"/>
        <v>100.90403140078422</v>
      </c>
      <c r="G27" s="105">
        <f t="shared" si="2"/>
        <v>108.49857729763929</v>
      </c>
      <c r="H27" s="50">
        <f t="shared" si="3"/>
        <v>4.037396807734529</v>
      </c>
      <c r="I27" s="49">
        <f t="shared" si="4"/>
        <v>0.33327875097004034</v>
      </c>
      <c r="J27" s="49">
        <f t="shared" si="27"/>
        <v>-0.13643421280925996</v>
      </c>
      <c r="K27" s="49">
        <f t="shared" si="5"/>
        <v>0.00652027349469843</v>
      </c>
      <c r="L27" s="49">
        <f t="shared" si="6"/>
        <v>0.00457634330997481</v>
      </c>
      <c r="M27" s="49">
        <f t="shared" si="22"/>
        <v>0.0009792988261051532</v>
      </c>
      <c r="N27" s="49">
        <f t="shared" si="23"/>
        <v>0.10794293718590629</v>
      </c>
      <c r="O27" s="49">
        <f t="shared" si="7"/>
        <v>0.573054914683561</v>
      </c>
      <c r="P27" s="205">
        <f t="shared" si="8"/>
        <v>4.505590279746455</v>
      </c>
      <c r="Q27" s="49">
        <f t="shared" si="9"/>
        <v>0.3</v>
      </c>
      <c r="R27" s="197">
        <f t="shared" si="10"/>
        <v>0.4532851689160351</v>
      </c>
      <c r="S27" s="53">
        <f t="shared" si="11"/>
        <v>5.809534922800046</v>
      </c>
      <c r="T27" s="49">
        <f t="shared" si="12"/>
        <v>1.8332787509700403</v>
      </c>
      <c r="U27" s="49">
        <f t="shared" si="13"/>
        <v>5.476256171830006</v>
      </c>
      <c r="V27" s="54">
        <f t="shared" si="14"/>
        <v>0.19046507719995365</v>
      </c>
      <c r="W27" s="97">
        <f t="shared" si="15"/>
        <v>-7.792154199632529</v>
      </c>
      <c r="X27" s="25">
        <f t="shared" si="28"/>
        <v>-0.33019118965855254</v>
      </c>
      <c r="Y27" s="23">
        <f t="shared" si="16"/>
        <v>6.483617795517881</v>
      </c>
      <c r="Z27" s="23">
        <f t="shared" si="17"/>
        <v>1.978027515771426</v>
      </c>
      <c r="AA27" s="205">
        <f>ERF(AH27)+ERF(AI27)-1</f>
        <v>0.3555754778378586</v>
      </c>
      <c r="AB27" s="52">
        <f t="shared" si="18"/>
        <v>6</v>
      </c>
      <c r="AC27" s="223">
        <f t="shared" si="24"/>
        <v>0.086</v>
      </c>
      <c r="AD27" s="224">
        <f t="shared" si="29"/>
        <v>7.9</v>
      </c>
      <c r="AE27" s="201">
        <f t="shared" si="25"/>
        <v>0</v>
      </c>
      <c r="AF27" s="205">
        <f t="shared" si="19"/>
        <v>0.7288581882473264</v>
      </c>
      <c r="AG27" s="225">
        <f>IF(ABS(AF27)&lt;10,SIGN(AF27)*ERF(ABS(AF27)),SIGN(AF27))</f>
        <v>0.697346906743411</v>
      </c>
      <c r="AH27" s="193">
        <f t="shared" si="20"/>
        <v>0.9313258262201246</v>
      </c>
      <c r="AI27" s="193">
        <f t="shared" si="21"/>
        <v>0.5263905502745284</v>
      </c>
    </row>
    <row r="28" spans="1:35" s="26" customFormat="1" ht="15" customHeight="1">
      <c r="A28" s="262">
        <f t="shared" si="26"/>
        <v>0.09500000000000003</v>
      </c>
      <c r="B28" s="271">
        <f t="shared" si="30"/>
        <v>-11.18728862973761</v>
      </c>
      <c r="C28" s="128">
        <f t="shared" si="31"/>
        <v>0.0025602500000000005</v>
      </c>
      <c r="D28" s="143">
        <f t="shared" si="32"/>
        <v>47758.28334974567</v>
      </c>
      <c r="E28" s="143">
        <f t="shared" si="0"/>
        <v>5263.157894736841</v>
      </c>
      <c r="F28" s="105">
        <f t="shared" si="1"/>
        <v>103.46458476593736</v>
      </c>
      <c r="G28" s="105">
        <f t="shared" si="2"/>
        <v>110.88389433758717</v>
      </c>
      <c r="H28" s="50">
        <f t="shared" si="3"/>
        <v>4.275297633557808</v>
      </c>
      <c r="I28" s="49">
        <f t="shared" si="4"/>
        <v>0.34414653632775905</v>
      </c>
      <c r="J28" s="49">
        <f t="shared" si="27"/>
        <v>-0.14088315453130104</v>
      </c>
      <c r="K28" s="49">
        <f t="shared" si="5"/>
        <v>0.0069481681133627075</v>
      </c>
      <c r="L28" s="49">
        <f t="shared" si="6"/>
        <v>0.005197442506231338</v>
      </c>
      <c r="M28" s="49">
        <f t="shared" si="22"/>
        <v>0.0009582323025034679</v>
      </c>
      <c r="N28" s="49">
        <f t="shared" si="23"/>
        <v>0.10556350728590339</v>
      </c>
      <c r="O28" s="49">
        <f t="shared" si="7"/>
        <v>0.6639473528066556</v>
      </c>
      <c r="P28" s="205">
        <f t="shared" si="8"/>
        <v>4.505590279746455</v>
      </c>
      <c r="Q28" s="49">
        <f t="shared" si="9"/>
        <v>0.3</v>
      </c>
      <c r="R28" s="197">
        <f t="shared" si="10"/>
        <v>0.4592582912194221</v>
      </c>
      <c r="S28" s="53">
        <f t="shared" si="11"/>
        <v>6.153410763703779</v>
      </c>
      <c r="T28" s="49">
        <f t="shared" si="12"/>
        <v>1.844146536327759</v>
      </c>
      <c r="U28" s="49">
        <f t="shared" si="13"/>
        <v>5.80926422737602</v>
      </c>
      <c r="V28" s="54">
        <f t="shared" si="14"/>
        <v>-0.15341076370377937</v>
      </c>
      <c r="W28" s="97">
        <f t="shared" si="15"/>
        <v>-7.808995107293635</v>
      </c>
      <c r="X28" s="25">
        <f t="shared" si="28"/>
        <v>-0.3605518483663075</v>
      </c>
      <c r="Y28" s="23">
        <f t="shared" si="16"/>
        <v>6.483617795517881</v>
      </c>
      <c r="Z28" s="23">
        <f t="shared" si="17"/>
        <v>1.978027515771426</v>
      </c>
      <c r="AA28" s="205">
        <f>ERF(AH28)+ERF(AI28)-1</f>
        <v>0.33615874022648295</v>
      </c>
      <c r="AB28" s="52">
        <f t="shared" si="18"/>
        <v>6</v>
      </c>
      <c r="AC28" s="223">
        <f t="shared" si="24"/>
        <v>0.086</v>
      </c>
      <c r="AD28" s="224">
        <f t="shared" si="29"/>
        <v>7.9</v>
      </c>
      <c r="AE28" s="201">
        <f t="shared" si="25"/>
        <v>0</v>
      </c>
      <c r="AF28" s="205">
        <f t="shared" si="19"/>
        <v>0.7131791045849253</v>
      </c>
      <c r="AG28" s="225">
        <f>IF(ABS(AF28)&lt;10,SIGN(AF28)*ERF(ABS(AF28)),SIGN(AF28))</f>
        <v>0.6868272584834489</v>
      </c>
      <c r="AH28" s="193">
        <f t="shared" si="20"/>
        <v>0.9112912903094088</v>
      </c>
      <c r="AI28" s="193">
        <f t="shared" si="21"/>
        <v>0.5150669188604418</v>
      </c>
    </row>
    <row r="29" spans="1:35" s="26" customFormat="1" ht="15" customHeight="1">
      <c r="A29" s="262">
        <f t="shared" si="26"/>
        <v>0.09800000000000003</v>
      </c>
      <c r="B29" s="271">
        <f t="shared" si="30"/>
        <v>-11.54057142857143</v>
      </c>
      <c r="C29" s="128">
        <f t="shared" si="31"/>
        <v>0.002641100000000001</v>
      </c>
      <c r="D29" s="143">
        <f t="shared" si="32"/>
        <v>46296.295083937126</v>
      </c>
      <c r="E29" s="143">
        <f t="shared" si="0"/>
        <v>5102.040816326529</v>
      </c>
      <c r="F29" s="105">
        <f t="shared" si="1"/>
        <v>106.04247884046262</v>
      </c>
      <c r="G29" s="105">
        <f t="shared" si="2"/>
        <v>113.29309352873776</v>
      </c>
      <c r="H29" s="50">
        <f t="shared" si="3"/>
        <v>4.524077677271702</v>
      </c>
      <c r="I29" s="49">
        <f t="shared" si="4"/>
        <v>0.35501432168547775</v>
      </c>
      <c r="J29" s="49">
        <f t="shared" si="27"/>
        <v>-0.14533209625334212</v>
      </c>
      <c r="K29" s="49">
        <f t="shared" si="5"/>
        <v>0.007389238716958228</v>
      </c>
      <c r="L29" s="49">
        <f t="shared" si="6"/>
        <v>0.005879177835149596</v>
      </c>
      <c r="M29" s="49">
        <f t="shared" si="22"/>
        <v>0.0009378553102595395</v>
      </c>
      <c r="N29" s="49">
        <f t="shared" si="23"/>
        <v>0.10326443687565799</v>
      </c>
      <c r="O29" s="49">
        <f t="shared" si="7"/>
        <v>0.776066212323576</v>
      </c>
      <c r="P29" s="205">
        <f t="shared" si="8"/>
        <v>4.505590279746455</v>
      </c>
      <c r="Q29" s="49">
        <f t="shared" si="9"/>
        <v>0.3</v>
      </c>
      <c r="R29" s="197">
        <f t="shared" si="10"/>
        <v>0.4663367935410987</v>
      </c>
      <c r="S29" s="53">
        <f t="shared" si="11"/>
        <v>6.530638619532661</v>
      </c>
      <c r="T29" s="49">
        <f t="shared" si="12"/>
        <v>1.8550143216854778</v>
      </c>
      <c r="U29" s="49">
        <f t="shared" si="13"/>
        <v>6.175624297847183</v>
      </c>
      <c r="V29" s="54">
        <f t="shared" si="14"/>
        <v>-0.5306386195326613</v>
      </c>
      <c r="W29" s="97">
        <f t="shared" si="15"/>
        <v>-7.82694139497303</v>
      </c>
      <c r="X29" s="25">
        <f t="shared" si="28"/>
        <v>-0.39819679922253703</v>
      </c>
      <c r="Y29" s="23">
        <f t="shared" si="16"/>
        <v>6.483617795517881</v>
      </c>
      <c r="Z29" s="23">
        <f t="shared" si="17"/>
        <v>1.978027515771426</v>
      </c>
      <c r="AA29" s="205">
        <f>ERF(AH29)+ERF(AI29)-1</f>
        <v>0.31692649884386026</v>
      </c>
      <c r="AB29" s="52">
        <f t="shared" si="18"/>
        <v>6</v>
      </c>
      <c r="AC29" s="223">
        <f t="shared" si="24"/>
        <v>0.086</v>
      </c>
      <c r="AD29" s="224">
        <f t="shared" si="29"/>
        <v>7.9</v>
      </c>
      <c r="AE29" s="201">
        <f t="shared" si="25"/>
        <v>0</v>
      </c>
      <c r="AF29" s="205">
        <f t="shared" si="19"/>
        <v>0.6980132152231375</v>
      </c>
      <c r="AG29" s="225">
        <f>IF(ABS(AF29)&lt;10,SIGN(AF29)*ERF(ABS(AF29)),SIGN(AF29))</f>
        <v>0.6764258573591309</v>
      </c>
      <c r="AH29" s="193">
        <f t="shared" si="20"/>
        <v>0.8919125076216619</v>
      </c>
      <c r="AI29" s="193">
        <f t="shared" si="21"/>
        <v>0.5041139228246133</v>
      </c>
    </row>
    <row r="30" spans="1:35" s="20" customFormat="1" ht="15" customHeight="1">
      <c r="A30" s="261">
        <f t="shared" si="26"/>
        <v>0.10100000000000003</v>
      </c>
      <c r="B30" s="270">
        <f t="shared" si="30"/>
        <v>-11.89385422740525</v>
      </c>
      <c r="C30" s="127">
        <f t="shared" si="31"/>
        <v>0.0027219500000000008</v>
      </c>
      <c r="D30" s="142">
        <f t="shared" si="32"/>
        <v>44921.15760619642</v>
      </c>
      <c r="E30" s="142">
        <f t="shared" si="0"/>
        <v>4950.495049504949</v>
      </c>
      <c r="F30" s="104">
        <f t="shared" si="1"/>
        <v>108.63647917001367</v>
      </c>
      <c r="G30" s="104">
        <f t="shared" si="2"/>
        <v>115.72468331837497</v>
      </c>
      <c r="H30" s="98">
        <f t="shared" si="3"/>
        <v>4.7845662056796945</v>
      </c>
      <c r="I30" s="95">
        <f t="shared" si="4"/>
        <v>0.3658821070431965</v>
      </c>
      <c r="J30" s="95">
        <f t="shared" si="27"/>
        <v>-0.14978103797538322</v>
      </c>
      <c r="K30" s="95">
        <f t="shared" si="5"/>
        <v>0.007843433640778937</v>
      </c>
      <c r="L30" s="95">
        <f t="shared" si="6"/>
        <v>0.006625279893867252</v>
      </c>
      <c r="M30" s="95">
        <f t="shared" si="22"/>
        <v>0.0009181492343283555</v>
      </c>
      <c r="N30" s="95">
        <f t="shared" si="23"/>
        <v>0.10104337666498078</v>
      </c>
      <c r="O30" s="95">
        <f t="shared" si="7"/>
        <v>0.9169934986598391</v>
      </c>
      <c r="P30" s="207">
        <f t="shared" si="8"/>
        <v>4.505590279746455</v>
      </c>
      <c r="Q30" s="95">
        <f t="shared" si="9"/>
        <v>0.3</v>
      </c>
      <c r="R30" s="196">
        <f t="shared" si="10"/>
        <v>0.4746938942072756</v>
      </c>
      <c r="S30" s="96">
        <f t="shared" si="11"/>
        <v>6.949804362148853</v>
      </c>
      <c r="T30" s="95">
        <f t="shared" si="12"/>
        <v>1.8658821070431966</v>
      </c>
      <c r="U30" s="95">
        <f t="shared" si="13"/>
        <v>6.583922255105657</v>
      </c>
      <c r="V30" s="100">
        <f t="shared" si="14"/>
        <v>-0.9498043621488534</v>
      </c>
      <c r="W30" s="101">
        <f t="shared" si="15"/>
        <v>-7.8461662809969255</v>
      </c>
      <c r="X30" s="27">
        <f t="shared" si="28"/>
        <v>-0.4465998448951045</v>
      </c>
      <c r="Y30" s="18">
        <f t="shared" si="16"/>
        <v>6.483617795517881</v>
      </c>
      <c r="Z30" s="18">
        <f t="shared" si="17"/>
        <v>1.978027515771426</v>
      </c>
      <c r="AA30" s="207">
        <f>ERF(AH30)+ERF(AI30)-1</f>
        <v>0.2979023917429733</v>
      </c>
      <c r="AB30" s="99">
        <f t="shared" si="18"/>
        <v>6</v>
      </c>
      <c r="AC30" s="226">
        <f t="shared" si="24"/>
        <v>0.086</v>
      </c>
      <c r="AD30" s="227">
        <f t="shared" si="29"/>
        <v>7.9</v>
      </c>
      <c r="AE30" s="228">
        <f t="shared" si="25"/>
        <v>0</v>
      </c>
      <c r="AF30" s="207">
        <f t="shared" si="19"/>
        <v>0.6833466656288822</v>
      </c>
      <c r="AG30" s="229">
        <f>IF(ABS(AF30)&lt;10,SIGN(AF30)*ERF(ABS(AF30)),SIGN(AF30))</f>
        <v>0.6661549881400345</v>
      </c>
      <c r="AH30" s="191">
        <f t="shared" si="20"/>
        <v>0.8731717750087586</v>
      </c>
      <c r="AI30" s="191">
        <f t="shared" si="21"/>
        <v>0.49352155624900595</v>
      </c>
    </row>
    <row r="31" spans="1:35" s="26" customFormat="1" ht="15" customHeight="1">
      <c r="A31" s="262">
        <f t="shared" si="26"/>
        <v>0.10400000000000004</v>
      </c>
      <c r="B31" s="271">
        <f t="shared" si="30"/>
        <v>-12.24713702623907</v>
      </c>
      <c r="C31" s="128">
        <f t="shared" si="31"/>
        <v>0.0028028000000000007</v>
      </c>
      <c r="D31" s="143">
        <f t="shared" si="32"/>
        <v>43625.35498294075</v>
      </c>
      <c r="E31" s="143">
        <f t="shared" si="0"/>
        <v>4807.692307692306</v>
      </c>
      <c r="F31" s="105">
        <f t="shared" si="1"/>
        <v>111.24545907257698</v>
      </c>
      <c r="G31" s="105">
        <f t="shared" si="2"/>
        <v>118.17728160247111</v>
      </c>
      <c r="H31" s="50">
        <f t="shared" si="3"/>
        <v>5.057736420460589</v>
      </c>
      <c r="I31" s="49">
        <f t="shared" si="4"/>
        <v>0.3767498924009152</v>
      </c>
      <c r="J31" s="49">
        <f t="shared" si="27"/>
        <v>-0.1542299796974243</v>
      </c>
      <c r="K31" s="49">
        <f t="shared" si="5"/>
        <v>0.00831069972930394</v>
      </c>
      <c r="L31" s="49">
        <f t="shared" si="6"/>
        <v>0.0074395787575048345</v>
      </c>
      <c r="M31" s="49">
        <f t="shared" si="22"/>
        <v>0.0008990943770315632</v>
      </c>
      <c r="N31" s="49">
        <f t="shared" si="23"/>
        <v>0.09889787317325456</v>
      </c>
      <c r="O31" s="49">
        <f t="shared" si="7"/>
        <v>1.0984555310629476</v>
      </c>
      <c r="P31" s="205">
        <f t="shared" si="8"/>
        <v>4.505590279746455</v>
      </c>
      <c r="Q31" s="49">
        <f t="shared" si="9"/>
        <v>0.3</v>
      </c>
      <c r="R31" s="197">
        <f t="shared" si="10"/>
        <v>0.48455901346765895</v>
      </c>
      <c r="S31" s="53">
        <f t="shared" si="11"/>
        <v>7.42383830932287</v>
      </c>
      <c r="T31" s="49">
        <f t="shared" si="12"/>
        <v>1.8767498924009152</v>
      </c>
      <c r="U31" s="49">
        <f t="shared" si="13"/>
        <v>7.047088416921955</v>
      </c>
      <c r="V31" s="54">
        <f t="shared" si="14"/>
        <v>-1.4238383093228704</v>
      </c>
      <c r="W31" s="97">
        <f t="shared" si="15"/>
        <v>-7.866899185615027</v>
      </c>
      <c r="X31" s="25">
        <f t="shared" si="28"/>
        <v>-0.5118498671801608</v>
      </c>
      <c r="Y31" s="23">
        <f t="shared" si="16"/>
        <v>6.483617795517881</v>
      </c>
      <c r="Z31" s="23">
        <f t="shared" si="17"/>
        <v>1.978027515771426</v>
      </c>
      <c r="AA31" s="205">
        <f>ERF(AH31)+ERF(AI31)-1</f>
        <v>0.2791068251185562</v>
      </c>
      <c r="AB31" s="52">
        <f t="shared" si="18"/>
        <v>6</v>
      </c>
      <c r="AC31" s="223">
        <f t="shared" si="24"/>
        <v>0.086</v>
      </c>
      <c r="AD31" s="224">
        <f t="shared" si="29"/>
        <v>7.9</v>
      </c>
      <c r="AE31" s="201">
        <f t="shared" si="25"/>
        <v>0</v>
      </c>
      <c r="AF31" s="205">
        <f t="shared" si="19"/>
        <v>0.6691647955025926</v>
      </c>
      <c r="AG31" s="225">
        <f>IF(ABS(AF31)&lt;10,SIGN(AF31)*ERF(ABS(AF31)),SIGN(AF31))</f>
        <v>0.6560257799705381</v>
      </c>
      <c r="AH31" s="193">
        <f t="shared" si="20"/>
        <v>0.8550503597242927</v>
      </c>
      <c r="AI31" s="193">
        <f t="shared" si="21"/>
        <v>0.48327923128089256</v>
      </c>
    </row>
    <row r="32" spans="1:35" s="26" customFormat="1" ht="15" customHeight="1">
      <c r="A32" s="262">
        <f t="shared" si="26"/>
        <v>0.10700000000000004</v>
      </c>
      <c r="B32" s="271">
        <f t="shared" si="30"/>
        <v>-12.600419825072889</v>
      </c>
      <c r="C32" s="128">
        <f t="shared" si="31"/>
        <v>0.002883650000000001</v>
      </c>
      <c r="D32" s="143">
        <f t="shared" si="32"/>
        <v>42402.21418902653</v>
      </c>
      <c r="E32" s="143">
        <f t="shared" si="0"/>
        <v>4672.897196261681</v>
      </c>
      <c r="F32" s="105">
        <f t="shared" si="1"/>
        <v>113.86838890607308</v>
      </c>
      <c r="G32" s="105">
        <f t="shared" si="2"/>
        <v>120.64960718852782</v>
      </c>
      <c r="H32" s="50">
        <f t="shared" si="3"/>
        <v>5.344763456007142</v>
      </c>
      <c r="I32" s="49">
        <f t="shared" si="4"/>
        <v>0.3876176777586339</v>
      </c>
      <c r="J32" s="49">
        <f t="shared" si="27"/>
        <v>-0.15867892141946538</v>
      </c>
      <c r="K32" s="49">
        <f t="shared" si="5"/>
        <v>0.008790982346564473</v>
      </c>
      <c r="L32" s="49">
        <f t="shared" si="6"/>
        <v>0.008326003092078134</v>
      </c>
      <c r="M32" s="49">
        <f t="shared" si="22"/>
        <v>0.0008806703300378469</v>
      </c>
      <c r="N32" s="49">
        <f t="shared" si="23"/>
        <v>0.09682541028544733</v>
      </c>
      <c r="O32" s="49">
        <f t="shared" si="7"/>
        <v>1.3397674673314275</v>
      </c>
      <c r="P32" s="205">
        <f t="shared" si="8"/>
        <v>4.505590279746455</v>
      </c>
      <c r="Q32" s="49">
        <f t="shared" si="9"/>
        <v>0.3</v>
      </c>
      <c r="R32" s="197">
        <f t="shared" si="10"/>
        <v>0.4962040820344473</v>
      </c>
      <c r="S32" s="53">
        <f t="shared" si="11"/>
        <v>7.973504096509175</v>
      </c>
      <c r="T32" s="49">
        <f t="shared" si="12"/>
        <v>1.887617677758634</v>
      </c>
      <c r="U32" s="49">
        <f t="shared" si="13"/>
        <v>7.585886418750541</v>
      </c>
      <c r="V32" s="54">
        <f t="shared" si="14"/>
        <v>-1.973504096509175</v>
      </c>
      <c r="W32" s="97">
        <f t="shared" si="15"/>
        <v>-7.889412039539534</v>
      </c>
      <c r="X32" s="25">
        <f t="shared" si="28"/>
        <v>-0.6057374853954172</v>
      </c>
      <c r="Y32" s="23">
        <f t="shared" si="16"/>
        <v>6.483617795517881</v>
      </c>
      <c r="Z32" s="23">
        <f t="shared" si="17"/>
        <v>1.978027515771426</v>
      </c>
      <c r="AA32" s="205">
        <f>ERF(AH32)+ERF(AI32)-1</f>
        <v>0.26055730057030013</v>
      </c>
      <c r="AB32" s="52">
        <f t="shared" si="18"/>
        <v>6</v>
      </c>
      <c r="AC32" s="223">
        <f t="shared" si="24"/>
        <v>0.086</v>
      </c>
      <c r="AD32" s="224">
        <f t="shared" si="29"/>
        <v>7.9</v>
      </c>
      <c r="AE32" s="201">
        <f t="shared" si="25"/>
        <v>0</v>
      </c>
      <c r="AF32" s="205">
        <f t="shared" si="19"/>
        <v>0.6554524156303208</v>
      </c>
      <c r="AG32" s="225">
        <f>IF(ABS(AF32)&lt;10,SIGN(AF32)*ERF(ABS(AF32)),SIGN(AF32))</f>
        <v>0.6460473424473058</v>
      </c>
      <c r="AH32" s="193">
        <f t="shared" si="20"/>
        <v>0.8375288531817138</v>
      </c>
      <c r="AI32" s="193">
        <f t="shared" si="21"/>
        <v>0.47337597807892784</v>
      </c>
    </row>
    <row r="33" spans="1:35" s="26" customFormat="1" ht="15" customHeight="1">
      <c r="A33" s="262">
        <f t="shared" si="26"/>
        <v>0.11000000000000004</v>
      </c>
      <c r="B33" s="271">
        <f t="shared" si="30"/>
        <v>-12.95370262390671</v>
      </c>
      <c r="C33" s="128">
        <f t="shared" si="31"/>
        <v>0.002964500000000001</v>
      </c>
      <c r="D33" s="143">
        <f t="shared" si="32"/>
        <v>41245.79016568943</v>
      </c>
      <c r="E33" s="143">
        <f t="shared" si="0"/>
        <v>4545.454545454544</v>
      </c>
      <c r="F33" s="105">
        <f t="shared" si="1"/>
        <v>116.50432648552477</v>
      </c>
      <c r="G33" s="105">
        <f t="shared" si="2"/>
        <v>123.1404718706531</v>
      </c>
      <c r="H33" s="50">
        <f t="shared" si="3"/>
        <v>5.647062510884449</v>
      </c>
      <c r="I33" s="49">
        <f t="shared" si="4"/>
        <v>0.39848546311635263</v>
      </c>
      <c r="J33" s="49">
        <f t="shared" si="27"/>
        <v>-0.16312786314150649</v>
      </c>
      <c r="K33" s="49">
        <f t="shared" si="5"/>
        <v>0.009284225386790221</v>
      </c>
      <c r="L33" s="49">
        <f t="shared" si="6"/>
        <v>0.009288579327903775</v>
      </c>
      <c r="M33" s="49">
        <f t="shared" si="22"/>
        <v>0.0008628562792358402</v>
      </c>
      <c r="N33" s="49">
        <f t="shared" si="23"/>
        <v>0.09482344300999034</v>
      </c>
      <c r="O33" s="49">
        <f t="shared" si="7"/>
        <v>1.6756903930656635</v>
      </c>
      <c r="P33" s="205">
        <f t="shared" si="8"/>
        <v>4.505590279746455</v>
      </c>
      <c r="Q33" s="49">
        <f t="shared" si="9"/>
        <v>0.3</v>
      </c>
      <c r="R33" s="197">
        <f t="shared" si="10"/>
        <v>0.5099628907093443</v>
      </c>
      <c r="S33" s="53">
        <f t="shared" si="11"/>
        <v>8.635313280113705</v>
      </c>
      <c r="T33" s="49">
        <f t="shared" si="12"/>
        <v>1.8984854631163526</v>
      </c>
      <c r="U33" s="49">
        <f t="shared" si="13"/>
        <v>8.236827816997351</v>
      </c>
      <c r="V33" s="54">
        <f t="shared" si="14"/>
        <v>-2.6353132801137047</v>
      </c>
      <c r="W33" s="97">
        <f t="shared" si="15"/>
        <v>-7.91403863357215</v>
      </c>
      <c r="X33" s="25">
        <f t="shared" si="28"/>
        <v>-0.7547510757265878</v>
      </c>
      <c r="Y33" s="23">
        <f t="shared" si="16"/>
        <v>6.483617795517881</v>
      </c>
      <c r="Z33" s="23">
        <f t="shared" si="17"/>
        <v>1.978027515771426</v>
      </c>
      <c r="AA33" s="205">
        <f>ERF(AH33)+ERF(AI33)-1</f>
        <v>0.2422687841928639</v>
      </c>
      <c r="AB33" s="52">
        <f t="shared" si="18"/>
        <v>6</v>
      </c>
      <c r="AC33" s="223">
        <f t="shared" si="24"/>
        <v>0.086</v>
      </c>
      <c r="AD33" s="224">
        <f t="shared" si="29"/>
        <v>7.9</v>
      </c>
      <c r="AE33" s="201">
        <f t="shared" si="25"/>
        <v>0</v>
      </c>
      <c r="AF33" s="205">
        <f t="shared" si="19"/>
        <v>0.6421940347900865</v>
      </c>
      <c r="AG33" s="225">
        <f>IF(ABS(AF33)&lt;10,SIGN(AF33)*ERF(ABS(AF33)),SIGN(AF33))</f>
        <v>0.6362271758407051</v>
      </c>
      <c r="AH33" s="193">
        <f t="shared" si="20"/>
        <v>0.8205874608924058</v>
      </c>
      <c r="AI33" s="193">
        <f t="shared" si="21"/>
        <v>0.4638006086877673</v>
      </c>
    </row>
    <row r="34" spans="1:35" s="26" customFormat="1" ht="15" customHeight="1">
      <c r="A34" s="262">
        <f t="shared" si="26"/>
        <v>0.11300000000000004</v>
      </c>
      <c r="B34" s="271">
        <f t="shared" si="30"/>
        <v>-13.306985422740528</v>
      </c>
      <c r="C34" s="128">
        <f t="shared" si="31"/>
        <v>0.003045350000000001</v>
      </c>
      <c r="D34" s="143">
        <f t="shared" si="32"/>
        <v>40150.76918783928</v>
      </c>
      <c r="E34" s="143">
        <f t="shared" si="0"/>
        <v>4424.778761061945</v>
      </c>
      <c r="F34" s="105">
        <f t="shared" si="1"/>
        <v>119.15240852627159</v>
      </c>
      <c r="G34" s="105">
        <f t="shared" si="2"/>
        <v>125.64877309505603</v>
      </c>
      <c r="H34" s="50">
        <f t="shared" si="3"/>
        <v>5.966346730929897</v>
      </c>
      <c r="I34" s="49">
        <f t="shared" si="4"/>
        <v>0.40935324847407134</v>
      </c>
      <c r="J34" s="49">
        <f t="shared" si="27"/>
        <v>-0.16757680486354756</v>
      </c>
      <c r="K34" s="49">
        <f t="shared" si="5"/>
        <v>0.009790371285331438</v>
      </c>
      <c r="L34" s="49">
        <f t="shared" si="6"/>
        <v>0.01033143090002273</v>
      </c>
      <c r="M34" s="49">
        <f t="shared" si="22"/>
        <v>0.0008456312526129884</v>
      </c>
      <c r="N34" s="49">
        <f t="shared" si="23"/>
        <v>0.09288942465302097</v>
      </c>
      <c r="O34" s="49">
        <f t="shared" si="7"/>
        <v>2.177827304511199</v>
      </c>
      <c r="P34" s="205">
        <f t="shared" si="8"/>
        <v>4.505590279746455</v>
      </c>
      <c r="Q34" s="49">
        <f t="shared" si="9"/>
        <v>0.3</v>
      </c>
      <c r="R34" s="197">
        <f t="shared" si="10"/>
        <v>0.5262581084941393</v>
      </c>
      <c r="S34" s="53">
        <f t="shared" si="11"/>
        <v>9.48300624796235</v>
      </c>
      <c r="T34" s="49">
        <f t="shared" si="12"/>
        <v>1.9093532484740714</v>
      </c>
      <c r="U34" s="49">
        <f t="shared" si="13"/>
        <v>9.07365299948828</v>
      </c>
      <c r="V34" s="54">
        <f t="shared" si="14"/>
        <v>-3.4830062479623507</v>
      </c>
      <c r="W34" s="97">
        <f t="shared" si="15"/>
        <v>-7.9412016367146645</v>
      </c>
      <c r="X34" s="25">
        <f t="shared" si="28"/>
        <v>-1.0352315096361222</v>
      </c>
      <c r="Y34" s="23">
        <f t="shared" si="16"/>
        <v>6.483617795517881</v>
      </c>
      <c r="Z34" s="23">
        <f t="shared" si="17"/>
        <v>1.978027515771426</v>
      </c>
      <c r="AA34" s="205">
        <f>ERF(AH34)+ERF(AI34)-1</f>
        <v>0.22425364773563627</v>
      </c>
      <c r="AB34" s="52">
        <f t="shared" si="18"/>
        <v>6</v>
      </c>
      <c r="AC34" s="223">
        <f t="shared" si="24"/>
        <v>0.086</v>
      </c>
      <c r="AD34" s="224">
        <f t="shared" si="29"/>
        <v>7.9</v>
      </c>
      <c r="AE34" s="201">
        <f t="shared" si="25"/>
        <v>0</v>
      </c>
      <c r="AF34" s="205">
        <f t="shared" si="19"/>
        <v>0.6293740442395254</v>
      </c>
      <c r="AG34" s="225">
        <f>IF(ABS(AF34)&lt;10,SIGN(AF34)*ERF(ABS(AF34)),SIGN(AF34))</f>
        <v>0.6265713263834106</v>
      </c>
      <c r="AH34" s="193">
        <f t="shared" si="20"/>
        <v>0.8042062382016839</v>
      </c>
      <c r="AI34" s="193">
        <f t="shared" si="21"/>
        <v>0.45454185027736693</v>
      </c>
    </row>
    <row r="35" spans="1:35" s="78" customFormat="1" ht="15" customHeight="1">
      <c r="A35" s="263">
        <f t="shared" si="26"/>
        <v>0.11600000000000005</v>
      </c>
      <c r="B35" s="272">
        <f>A35*$B$3</f>
        <v>-13.660268221574347</v>
      </c>
      <c r="C35" s="129">
        <f>A35*$Z$4</f>
        <v>0.0031262000000000013</v>
      </c>
      <c r="D35" s="144">
        <f t="shared" si="32"/>
        <v>39112.387226084815</v>
      </c>
      <c r="E35" s="144">
        <f t="shared" si="0"/>
        <v>4310.344827586205</v>
      </c>
      <c r="F35" s="106">
        <f t="shared" si="1"/>
        <v>121.81184300125345</v>
      </c>
      <c r="G35" s="106">
        <f t="shared" si="2"/>
        <v>128.17348718843292</v>
      </c>
      <c r="H35" s="75">
        <f t="shared" si="3"/>
        <v>6.304704712934517</v>
      </c>
      <c r="I35" s="74">
        <f t="shared" si="4"/>
        <v>0.42022103383179005</v>
      </c>
      <c r="J35" s="74">
        <f t="shared" si="27"/>
        <v>-0.17202574658558864</v>
      </c>
      <c r="K35" s="74">
        <f t="shared" si="5"/>
        <v>0.010309361029854644</v>
      </c>
      <c r="L35" s="74">
        <f t="shared" si="6"/>
        <v>0.011458777562227466</v>
      </c>
      <c r="M35" s="74">
        <f t="shared" si="22"/>
        <v>0.0008289743199812559</v>
      </c>
      <c r="N35" s="74">
        <f t="shared" si="23"/>
        <v>0.09102082846362533</v>
      </c>
      <c r="O35" s="74">
        <f t="shared" si="7"/>
        <v>3.0327404327882324</v>
      </c>
      <c r="P35" s="155">
        <f t="shared" si="8"/>
        <v>4.505590279746455</v>
      </c>
      <c r="Q35" s="74">
        <f t="shared" si="9"/>
        <v>0.3</v>
      </c>
      <c r="R35" s="195">
        <f t="shared" si="10"/>
        <v>0.5456305138055564</v>
      </c>
      <c r="S35" s="96">
        <f t="shared" si="11"/>
        <v>10.705776299385949</v>
      </c>
      <c r="T35" s="74">
        <f t="shared" si="12"/>
        <v>1.92022103383179</v>
      </c>
      <c r="U35" s="74">
        <f t="shared" si="13"/>
        <v>10.285555265554159</v>
      </c>
      <c r="V35" s="100">
        <f t="shared" si="14"/>
        <v>-4.705776299385949</v>
      </c>
      <c r="W35" s="101">
        <f t="shared" si="15"/>
        <v>-7.971441827383799</v>
      </c>
      <c r="X35" s="77"/>
      <c r="Y35" s="74">
        <f t="shared" si="16"/>
        <v>6.483617795517881</v>
      </c>
      <c r="Z35" s="74">
        <f t="shared" si="17"/>
        <v>1.978027515771426</v>
      </c>
      <c r="AA35" s="155">
        <f>ERF(AH35)+ERF(AI35)-1</f>
        <v>0.2065220737727973</v>
      </c>
      <c r="AB35" s="76">
        <f t="shared" si="18"/>
        <v>6</v>
      </c>
      <c r="AC35" s="186">
        <f t="shared" si="24"/>
        <v>0.086</v>
      </c>
      <c r="AD35" s="187">
        <f>ROUNDUP(E10,0)-0.1</f>
        <v>7.9</v>
      </c>
      <c r="AE35" s="200">
        <f t="shared" si="25"/>
        <v>0</v>
      </c>
      <c r="AF35" s="155">
        <f t="shared" si="19"/>
        <v>0.6169768663648132</v>
      </c>
      <c r="AG35" s="179">
        <f>IF(ABS(AF35)&lt;10,SIGN(AF35)*ERF(ABS(AF35)),SIGN(AF35))</f>
        <v>0.6170845343415852</v>
      </c>
      <c r="AH35" s="190">
        <f t="shared" si="20"/>
        <v>0.7883652802305207</v>
      </c>
      <c r="AI35" s="190">
        <f t="shared" si="21"/>
        <v>0.44558845249910595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5"/>
      <c r="S36" s="13"/>
      <c r="U36" s="13"/>
      <c r="V36" s="13"/>
      <c r="W36" s="14"/>
      <c r="AA36" s="5"/>
      <c r="AB36" s="6"/>
      <c r="AE36" s="201">
        <f>SUM(AE15:AE35)</f>
        <v>0.8004309307201432</v>
      </c>
    </row>
    <row r="37" spans="1:27" s="26" customFormat="1" ht="15" customHeight="1">
      <c r="A37" s="79" t="s">
        <v>60</v>
      </c>
      <c r="B37" s="22"/>
      <c r="C37" s="22"/>
      <c r="D37" s="21"/>
      <c r="E37" s="22"/>
      <c r="F37" s="22"/>
      <c r="G37" s="28"/>
      <c r="W37" s="31"/>
      <c r="X37" s="31"/>
      <c r="AA37" s="158"/>
    </row>
    <row r="38" spans="1:28" s="26" customFormat="1" ht="15" customHeight="1">
      <c r="A38" s="29" t="s">
        <v>108</v>
      </c>
      <c r="B38" s="22"/>
      <c r="C38" s="22"/>
      <c r="D38" s="21"/>
      <c r="E38" s="22"/>
      <c r="F38" s="22"/>
      <c r="G38" s="28"/>
      <c r="K38" s="23"/>
      <c r="L38" s="22"/>
      <c r="M38" s="23"/>
      <c r="N38" s="23"/>
      <c r="O38" s="23"/>
      <c r="P38" s="23"/>
      <c r="Q38" s="23"/>
      <c r="R38" s="59"/>
      <c r="S38" s="23"/>
      <c r="T38" s="30"/>
      <c r="U38" s="23"/>
      <c r="W38" s="31"/>
      <c r="X38" s="31"/>
      <c r="AA38" s="158"/>
      <c r="AB38" s="24"/>
    </row>
    <row r="39" spans="1:28" s="26" customFormat="1" ht="15" customHeight="1">
      <c r="A39" s="23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22"/>
      <c r="M39" s="23"/>
      <c r="N39" s="23"/>
      <c r="O39" s="23"/>
      <c r="P39" s="23"/>
      <c r="Q39" s="23"/>
      <c r="R39" s="59"/>
      <c r="S39" s="23"/>
      <c r="T39" s="30"/>
      <c r="U39" s="23"/>
      <c r="W39" s="31"/>
      <c r="X39" s="31"/>
      <c r="AA39" s="158"/>
      <c r="AB39" s="24"/>
    </row>
    <row r="40" spans="1:28" s="26" customFormat="1" ht="15" customHeight="1">
      <c r="A40" s="29"/>
      <c r="B40" s="29"/>
      <c r="C40" s="22"/>
      <c r="D40" s="21"/>
      <c r="E40" s="22"/>
      <c r="F40" s="22"/>
      <c r="G40" s="28"/>
      <c r="H40" s="23"/>
      <c r="I40" s="23"/>
      <c r="J40" s="23"/>
      <c r="K40" s="23"/>
      <c r="L40" s="22"/>
      <c r="M40" s="23"/>
      <c r="N40" s="23"/>
      <c r="O40" s="23"/>
      <c r="P40" s="23"/>
      <c r="Q40" s="23"/>
      <c r="R40" s="59"/>
      <c r="S40" s="23"/>
      <c r="T40" s="30"/>
      <c r="U40" s="23"/>
      <c r="W40" s="31"/>
      <c r="X40" s="31"/>
      <c r="AA40" s="158"/>
      <c r="AB40" s="24"/>
    </row>
    <row r="41" spans="1:28" s="26" customFormat="1" ht="15" customHeight="1">
      <c r="A41" s="29"/>
      <c r="B41" s="29"/>
      <c r="C41" s="22"/>
      <c r="D41" s="21"/>
      <c r="E41" s="22"/>
      <c r="F41" s="22"/>
      <c r="G41" s="28"/>
      <c r="H41" s="23"/>
      <c r="I41" s="23"/>
      <c r="J41" s="23"/>
      <c r="K41" s="23"/>
      <c r="L41" s="22"/>
      <c r="M41" s="23"/>
      <c r="N41" s="23"/>
      <c r="O41" s="23"/>
      <c r="P41" s="23"/>
      <c r="Q41" s="23"/>
      <c r="R41" s="59"/>
      <c r="S41" s="23"/>
      <c r="T41" s="30"/>
      <c r="U41" s="23"/>
      <c r="W41" s="31"/>
      <c r="X41" s="31"/>
      <c r="AA41" s="158"/>
      <c r="AB41" s="24"/>
    </row>
    <row r="42" spans="1:28" s="26" customFormat="1" ht="15" customHeight="1">
      <c r="A42" s="29"/>
      <c r="B42" s="29"/>
      <c r="C42" s="22"/>
      <c r="D42" s="21"/>
      <c r="E42" s="22"/>
      <c r="F42" s="22"/>
      <c r="G42" s="28"/>
      <c r="H42" s="23"/>
      <c r="I42" s="23"/>
      <c r="J42" s="23"/>
      <c r="K42" s="23"/>
      <c r="L42" s="22"/>
      <c r="M42" s="23"/>
      <c r="N42" s="23"/>
      <c r="O42" s="23"/>
      <c r="P42" s="23"/>
      <c r="Q42" s="23"/>
      <c r="R42" s="59"/>
      <c r="S42" s="23"/>
      <c r="T42" s="30"/>
      <c r="U42" s="23"/>
      <c r="W42" s="31"/>
      <c r="X42" s="31"/>
      <c r="AA42" s="158"/>
      <c r="AB42" s="24"/>
    </row>
    <row r="43" spans="1:28" s="26" customFormat="1" ht="15" customHeight="1">
      <c r="A43" s="28"/>
      <c r="D43" s="21"/>
      <c r="E43" s="22"/>
      <c r="F43" s="22"/>
      <c r="G43" s="28"/>
      <c r="H43" s="23"/>
      <c r="I43" s="23"/>
      <c r="J43" s="23"/>
      <c r="K43" s="23"/>
      <c r="L43" s="22"/>
      <c r="M43" s="23"/>
      <c r="N43" s="23"/>
      <c r="O43" s="23"/>
      <c r="P43" s="23"/>
      <c r="Q43" s="23"/>
      <c r="R43" s="59"/>
      <c r="S43" s="23"/>
      <c r="T43" s="30"/>
      <c r="U43" s="23"/>
      <c r="W43" s="31"/>
      <c r="X43" s="31"/>
      <c r="AA43" s="158"/>
      <c r="AB43" s="24"/>
    </row>
    <row r="44" spans="1:28" s="26" customFormat="1" ht="15" customHeight="1">
      <c r="A44" s="28"/>
      <c r="B44" s="22"/>
      <c r="D44" s="21"/>
      <c r="E44" s="22"/>
      <c r="F44" s="22"/>
      <c r="G44" s="28"/>
      <c r="H44" s="23"/>
      <c r="I44" s="23"/>
      <c r="J44" s="23"/>
      <c r="K44" s="23"/>
      <c r="L44" s="22"/>
      <c r="M44" s="23"/>
      <c r="N44" s="23"/>
      <c r="O44" s="23"/>
      <c r="P44" s="23"/>
      <c r="Q44" s="23"/>
      <c r="R44" s="59"/>
      <c r="S44" s="23"/>
      <c r="T44" s="30"/>
      <c r="U44" s="23"/>
      <c r="W44" s="31"/>
      <c r="X44" s="31"/>
      <c r="AA44" s="158"/>
      <c r="AB44" s="24"/>
    </row>
    <row r="45" spans="1:28" s="26" customFormat="1" ht="15" customHeight="1">
      <c r="A45" s="28"/>
      <c r="B45" s="22"/>
      <c r="D45" s="21"/>
      <c r="E45" s="22"/>
      <c r="F45" s="22"/>
      <c r="G45" s="28"/>
      <c r="H45" s="23"/>
      <c r="I45" s="23"/>
      <c r="J45" s="23"/>
      <c r="K45" s="23"/>
      <c r="L45" s="22"/>
      <c r="M45" s="23"/>
      <c r="N45" s="23"/>
      <c r="O45" s="23"/>
      <c r="P45" s="23"/>
      <c r="Q45" s="23"/>
      <c r="R45" s="59"/>
      <c r="S45" s="23"/>
      <c r="T45" s="30"/>
      <c r="U45" s="23"/>
      <c r="W45" s="31"/>
      <c r="X45" s="31"/>
      <c r="AA45" s="158"/>
      <c r="AB45" s="24"/>
    </row>
    <row r="46" spans="1:28" ht="15" customHeight="1">
      <c r="A46" s="28"/>
      <c r="B46" s="22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5"/>
      <c r="S46" s="4"/>
      <c r="U46" s="4"/>
      <c r="AB46" s="6"/>
    </row>
    <row r="47" spans="1:28" ht="15" customHeight="1">
      <c r="A47" s="2"/>
      <c r="B47" s="22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5"/>
      <c r="S47" s="4"/>
      <c r="U47" s="4"/>
      <c r="AB47" s="6"/>
    </row>
    <row r="48" spans="1:28" ht="15" customHeight="1">
      <c r="A48" s="2"/>
      <c r="B48" s="22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0"/>
      <c r="S48" s="4"/>
      <c r="U48" s="4"/>
      <c r="AB48" s="6"/>
    </row>
    <row r="49" spans="1:28" ht="15" customHeight="1">
      <c r="A49" s="24"/>
      <c r="B49" s="22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5"/>
      <c r="S49" s="4"/>
      <c r="U49" s="4"/>
      <c r="AB49" s="6"/>
    </row>
    <row r="50" spans="1:16" ht="15" customHeight="1">
      <c r="A50" s="15"/>
      <c r="B50" s="14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4"/>
      <c r="B51" s="14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4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V2:W2"/>
  </mergeCells>
  <printOptions horizontalCentered="1"/>
  <pageMargins left="0.5" right="0.5" top="0.5" bottom="0.6" header="0.3" footer="0.4"/>
  <pageSetup fitToHeight="1" fitToWidth="1" horizontalDpi="600" verticalDpi="600" orientation="landscape" scale="69" r:id="rId2"/>
  <headerFooter alignWithMargins="0">
    <oddHeader xml:space="preserve">&amp;CSpreadsheet by Agilent Technologies&amp;R </oddHeader>
    <oddFooter>&amp;L&amp;F tab &amp;A page &amp;P of &amp;N&amp;RPrinted &amp;T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showGridLines="0" showOutlineSymbols="0" zoomScale="70" zoomScaleNormal="70" workbookViewId="0" topLeftCell="A1">
      <selection activeCell="T1" sqref="T1"/>
    </sheetView>
  </sheetViews>
  <sheetFormatPr defaultColWidth="9.140625" defaultRowHeight="12.75"/>
  <cols>
    <col min="1" max="1" width="13.28125" style="5" customWidth="1"/>
    <col min="2" max="2" width="7.7109375" style="5" customWidth="1"/>
    <col min="3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6" customWidth="1"/>
    <col min="19" max="19" width="6.57421875" style="5" customWidth="1"/>
    <col min="20" max="20" width="7.28125" style="7" customWidth="1"/>
    <col min="21" max="21" width="7.421875" style="5" customWidth="1"/>
    <col min="22" max="22" width="7.7109375" style="5" customWidth="1"/>
    <col min="23" max="23" width="11.140625" style="10" customWidth="1"/>
    <col min="24" max="24" width="8.8515625" style="10" customWidth="1"/>
    <col min="25" max="25" width="8.140625" style="5" customWidth="1"/>
    <col min="26" max="26" width="7.57421875" style="5" customWidth="1"/>
    <col min="27" max="27" width="10.00390625" style="157" customWidth="1"/>
    <col min="28" max="28" width="6.00390625" style="5" customWidth="1"/>
    <col min="29" max="29" width="7.140625" style="5" customWidth="1"/>
    <col min="30" max="30" width="7.00390625" style="5" customWidth="1"/>
    <col min="31" max="32" width="10.00390625" style="5" customWidth="1"/>
    <col min="33" max="16384" width="11.140625" style="5" customWidth="1"/>
  </cols>
  <sheetData>
    <row r="1" spans="1:32" s="126" customFormat="1" ht="15">
      <c r="A1" s="123" t="s">
        <v>109</v>
      </c>
      <c r="B1" s="110"/>
      <c r="C1" s="110"/>
      <c r="D1" s="110"/>
      <c r="E1" s="114"/>
      <c r="F1" s="114"/>
      <c r="G1" s="114"/>
      <c r="H1" s="114"/>
      <c r="I1" s="114"/>
      <c r="J1" s="114"/>
      <c r="K1" s="114"/>
      <c r="L1" s="124" t="s">
        <v>66</v>
      </c>
      <c r="M1" s="110" t="s">
        <v>186</v>
      </c>
      <c r="N1" s="114"/>
      <c r="O1" s="131" t="s">
        <v>47</v>
      </c>
      <c r="P1" s="277" t="s">
        <v>1</v>
      </c>
      <c r="Q1" s="276" t="str">
        <f>Notes!G1</f>
        <v>1.0.0</v>
      </c>
      <c r="R1" s="217"/>
      <c r="S1" s="222" t="s">
        <v>130</v>
      </c>
      <c r="T1" s="221" t="str">
        <f>Notes!A1</f>
        <v>10GEPBud2_4_1.xls</v>
      </c>
      <c r="U1" s="217"/>
      <c r="V1" s="214"/>
      <c r="W1" s="241">
        <f>Notes!E1</f>
        <v>36879</v>
      </c>
      <c r="AB1" s="217"/>
      <c r="AC1" s="51"/>
      <c r="AD1" s="51"/>
      <c r="AE1" s="51"/>
      <c r="AF1" s="51"/>
    </row>
    <row r="2" spans="1:32" ht="15.75">
      <c r="A2" s="62" t="s">
        <v>2</v>
      </c>
      <c r="B2" s="118" t="s">
        <v>3</v>
      </c>
      <c r="C2" s="73"/>
      <c r="D2" s="65">
        <f>IF(O1="SMF","PolMD DGDmax","")</f>
      </c>
      <c r="E2" s="238"/>
      <c r="F2" s="73">
        <f>IF(O1="SMF","ps at target "&amp;J2&amp;K2,"")</f>
      </c>
      <c r="G2" s="62"/>
      <c r="H2" s="61"/>
      <c r="I2" s="65" t="s">
        <v>92</v>
      </c>
      <c r="J2" s="264">
        <v>0.069</v>
      </c>
      <c r="K2" s="61" t="s">
        <v>93</v>
      </c>
      <c r="L2" s="61"/>
      <c r="M2" s="73"/>
      <c r="N2" s="61"/>
      <c r="O2" s="62" t="s">
        <v>98</v>
      </c>
      <c r="P2" s="139">
        <f>1000000/$P$6</f>
        <v>87.26969696969698</v>
      </c>
      <c r="Q2" s="61" t="s">
        <v>87</v>
      </c>
      <c r="R2" s="274"/>
      <c r="S2" s="275" t="s">
        <v>232</v>
      </c>
      <c r="T2" s="278" t="str">
        <f>Notes!F16</f>
        <v>2.4.1</v>
      </c>
      <c r="U2" s="279" t="s">
        <v>229</v>
      </c>
      <c r="V2" s="283">
        <f>Notes!D16</f>
        <v>36881</v>
      </c>
      <c r="W2" s="284"/>
      <c r="X2" s="6"/>
      <c r="Y2" s="243" t="s">
        <v>154</v>
      </c>
      <c r="Z2" s="244">
        <f>10^(B6/10)</f>
        <v>1.5797070999185934</v>
      </c>
      <c r="AA2" s="245" t="s">
        <v>153</v>
      </c>
      <c r="AB2" s="66"/>
      <c r="AC2" s="1"/>
      <c r="AD2" s="1"/>
      <c r="AE2" s="1"/>
      <c r="AF2" s="1"/>
    </row>
    <row r="3" spans="1:32" ht="15" customHeight="1">
      <c r="A3" s="62" t="s">
        <v>214</v>
      </c>
      <c r="B3" s="67">
        <f>0.25*$E$4*$B$4*(1-($E$5/$B$4)^4)</f>
        <v>-117.7609329446064</v>
      </c>
      <c r="C3" s="66" t="s">
        <v>213</v>
      </c>
      <c r="D3" s="65" t="s">
        <v>144</v>
      </c>
      <c r="E3" s="145">
        <v>400</v>
      </c>
      <c r="F3" s="61" t="s">
        <v>143</v>
      </c>
      <c r="G3" s="61"/>
      <c r="H3" s="73"/>
      <c r="I3" s="62" t="s">
        <v>95</v>
      </c>
      <c r="J3" s="265">
        <v>0.039</v>
      </c>
      <c r="K3" s="73" t="s">
        <v>93</v>
      </c>
      <c r="L3" s="61"/>
      <c r="M3" s="73"/>
      <c r="N3" s="61"/>
      <c r="O3" s="62" t="s">
        <v>4</v>
      </c>
      <c r="P3" s="49">
        <f>IF($B$4&gt;1000,$E$6/1.5,$E$6/3.5)</f>
        <v>1</v>
      </c>
      <c r="Q3" s="61"/>
      <c r="R3" s="80"/>
      <c r="S3" s="243" t="s">
        <v>207</v>
      </c>
      <c r="T3" s="244">
        <f>10*LOG10(Z3)</f>
        <v>6.48361779551788</v>
      </c>
      <c r="U3" s="246" t="s">
        <v>155</v>
      </c>
      <c r="V3" s="73"/>
      <c r="W3" s="66"/>
      <c r="X3" s="6"/>
      <c r="Y3" s="243" t="s">
        <v>152</v>
      </c>
      <c r="Z3" s="244">
        <f>(Z2+1)/(Z2-1)</f>
        <v>4.450018121704658</v>
      </c>
      <c r="AA3" s="245" t="s">
        <v>153</v>
      </c>
      <c r="AB3" s="82"/>
      <c r="AD3" s="1"/>
      <c r="AE3" s="251"/>
      <c r="AF3" s="1"/>
    </row>
    <row r="4" spans="1:32" ht="15" customHeight="1">
      <c r="A4" s="62" t="s">
        <v>48</v>
      </c>
      <c r="B4" s="84">
        <v>840</v>
      </c>
      <c r="C4" s="73"/>
      <c r="D4" s="65" t="s">
        <v>7</v>
      </c>
      <c r="E4" s="81">
        <v>0.11</v>
      </c>
      <c r="F4" s="61"/>
      <c r="G4" s="61"/>
      <c r="H4" s="73"/>
      <c r="I4" s="62" t="s">
        <v>96</v>
      </c>
      <c r="J4" s="149">
        <f>10^(INT(LOG10(J3/9)))*3</f>
        <v>0.003</v>
      </c>
      <c r="K4" s="61" t="s">
        <v>93</v>
      </c>
      <c r="L4" s="61"/>
      <c r="M4" s="61"/>
      <c r="N4" s="61"/>
      <c r="O4" s="62" t="s">
        <v>5</v>
      </c>
      <c r="P4" s="139">
        <f>B7*1.518</f>
        <v>47.817</v>
      </c>
      <c r="Q4" s="73" t="s">
        <v>87</v>
      </c>
      <c r="R4" s="85"/>
      <c r="S4" s="2" t="s">
        <v>208</v>
      </c>
      <c r="T4" s="4">
        <f>10*LOG10((1+10^(-($J$10/10)))/(1-10^(-($J$10/10))))</f>
        <v>1.978027515771426</v>
      </c>
      <c r="U4" s="246" t="s">
        <v>155</v>
      </c>
      <c r="V4" s="73"/>
      <c r="W4" s="66"/>
      <c r="X4" s="6"/>
      <c r="Y4" s="248" t="s">
        <v>31</v>
      </c>
      <c r="Z4" s="5">
        <f>0.7*$E$4*$B$5</f>
        <v>0.026949999999999998</v>
      </c>
      <c r="AA4" s="66" t="s">
        <v>213</v>
      </c>
      <c r="AB4" s="83"/>
      <c r="AD4" s="1"/>
      <c r="AE4" s="251"/>
      <c r="AF4" s="1"/>
    </row>
    <row r="5" spans="1:31" ht="15" customHeight="1">
      <c r="A5" s="62" t="s">
        <v>6</v>
      </c>
      <c r="B5" s="86">
        <v>0.35</v>
      </c>
      <c r="C5" s="73"/>
      <c r="D5" s="65" t="s">
        <v>49</v>
      </c>
      <c r="E5" s="81">
        <v>1320</v>
      </c>
      <c r="F5" s="61"/>
      <c r="G5" s="61"/>
      <c r="H5" s="73"/>
      <c r="I5" s="62" t="s">
        <v>9</v>
      </c>
      <c r="J5" s="87">
        <v>480</v>
      </c>
      <c r="K5" s="61" t="s">
        <v>91</v>
      </c>
      <c r="L5" s="73"/>
      <c r="M5" s="67"/>
      <c r="N5" s="61"/>
      <c r="O5" s="62" t="s">
        <v>8</v>
      </c>
      <c r="P5" s="95">
        <v>0.7</v>
      </c>
      <c r="Q5" s="61"/>
      <c r="R5" s="85"/>
      <c r="S5" s="248" t="s">
        <v>163</v>
      </c>
      <c r="T5" s="249">
        <f>T3-T4</f>
        <v>4.505590279746453</v>
      </c>
      <c r="U5" s="246" t="s">
        <v>155</v>
      </c>
      <c r="V5" s="73"/>
      <c r="W5" s="66"/>
      <c r="X5" s="6"/>
      <c r="AB5" s="83"/>
      <c r="AC5" s="1"/>
      <c r="AE5" s="252"/>
    </row>
    <row r="6" spans="1:32" ht="15" customHeight="1">
      <c r="A6" s="62" t="s">
        <v>223</v>
      </c>
      <c r="B6" s="70">
        <f>10*LOG10((2*AE7+K9)/(2*AE7-K9))</f>
        <v>1.985765700676064</v>
      </c>
      <c r="C6" s="73" t="s">
        <v>54</v>
      </c>
      <c r="D6" s="65" t="s">
        <v>83</v>
      </c>
      <c r="E6" s="81">
        <v>3.5</v>
      </c>
      <c r="F6" s="61" t="str">
        <f>"dB/km at "&amp;IF(B4&lt;1000,850,1300)&amp;" nm"</f>
        <v>dB/km at 850 nm</v>
      </c>
      <c r="G6" s="61"/>
      <c r="H6" s="73"/>
      <c r="I6" s="62" t="s">
        <v>12</v>
      </c>
      <c r="J6" s="86">
        <v>7.037</v>
      </c>
      <c r="K6" s="61"/>
      <c r="L6" s="61"/>
      <c r="M6" s="67"/>
      <c r="N6" s="61"/>
      <c r="O6" s="65" t="s">
        <v>10</v>
      </c>
      <c r="P6" s="88">
        <f>(P7)</f>
        <v>11458.73120594465</v>
      </c>
      <c r="Q6" s="66"/>
      <c r="R6" s="83"/>
      <c r="S6" s="62" t="s">
        <v>204</v>
      </c>
      <c r="T6" s="51">
        <f>$E$10-$E$11</f>
        <v>6</v>
      </c>
      <c r="U6" s="233" t="s">
        <v>54</v>
      </c>
      <c r="V6" s="73"/>
      <c r="W6" s="66"/>
      <c r="Y6" s="166" t="s">
        <v>114</v>
      </c>
      <c r="Z6" s="167">
        <f>$Z$8*$P$2/(SQRT(8)*$T$9)</f>
        <v>1.98301103626657</v>
      </c>
      <c r="AA6" s="168" t="s">
        <v>67</v>
      </c>
      <c r="AB6" s="61"/>
      <c r="AC6" s="1"/>
      <c r="AD6" s="1"/>
      <c r="AE6" s="251"/>
      <c r="AF6" s="1"/>
    </row>
    <row r="7" spans="1:32" ht="15" customHeight="1">
      <c r="A7" s="62" t="s">
        <v>11</v>
      </c>
      <c r="B7" s="81">
        <v>31.5</v>
      </c>
      <c r="C7" s="73" t="s">
        <v>87</v>
      </c>
      <c r="D7" s="65" t="s">
        <v>145</v>
      </c>
      <c r="E7" s="239">
        <f>IF(O1="SMF",1000000*J2/(3*E2),E3)</f>
        <v>400</v>
      </c>
      <c r="F7" s="61" t="s">
        <v>143</v>
      </c>
      <c r="G7" s="67"/>
      <c r="H7" s="67"/>
      <c r="I7" s="65" t="s">
        <v>88</v>
      </c>
      <c r="J7" s="147">
        <f>2.5*10^5/$E$8</f>
        <v>24.242424242424242</v>
      </c>
      <c r="K7" s="67" t="s">
        <v>87</v>
      </c>
      <c r="L7" s="61"/>
      <c r="M7" s="67"/>
      <c r="N7" s="61"/>
      <c r="O7" s="65" t="s">
        <v>13</v>
      </c>
      <c r="P7" s="89">
        <f>1/((1/$E$8)-$J$8*10^-6)</f>
        <v>11458.73120594465</v>
      </c>
      <c r="Q7" s="66"/>
      <c r="R7" s="83"/>
      <c r="S7" s="91" t="s">
        <v>28</v>
      </c>
      <c r="T7" s="115">
        <f>AE36</f>
        <v>0.8589849639631275</v>
      </c>
      <c r="U7" s="92" t="str">
        <f>"dB at target "&amp;J2&amp;" km"</f>
        <v>dB at target 0.069 km</v>
      </c>
      <c r="V7" s="73"/>
      <c r="W7" s="119"/>
      <c r="Y7" s="166" t="s">
        <v>115</v>
      </c>
      <c r="Z7" s="169">
        <f>IF(ABS($Z$6)&lt;10,SIGN($Z$6)*ERF(ABS($Z$6)),SIGN($Z$6))</f>
        <v>0.9949589846722309</v>
      </c>
      <c r="AA7" s="168" t="s">
        <v>67</v>
      </c>
      <c r="AB7" s="61"/>
      <c r="AC7" s="1"/>
      <c r="AD7" s="2" t="s">
        <v>166</v>
      </c>
      <c r="AE7" s="253">
        <f>1000*10^(J9/10)</f>
        <v>794.3282347242815</v>
      </c>
      <c r="AF7" s="1" t="s">
        <v>165</v>
      </c>
    </row>
    <row r="8" spans="1:32" ht="15" customHeight="1">
      <c r="A8" s="248" t="s">
        <v>224</v>
      </c>
      <c r="B8" s="81">
        <v>-125</v>
      </c>
      <c r="C8" s="102" t="s">
        <v>74</v>
      </c>
      <c r="D8" s="62" t="s">
        <v>84</v>
      </c>
      <c r="E8" s="148">
        <v>10312.5</v>
      </c>
      <c r="F8" s="73" t="s">
        <v>89</v>
      </c>
      <c r="G8" s="67"/>
      <c r="H8" s="61"/>
      <c r="I8" s="65" t="s">
        <v>15</v>
      </c>
      <c r="J8" s="81">
        <v>9.7</v>
      </c>
      <c r="K8" s="61"/>
      <c r="L8" s="61"/>
      <c r="M8" s="61"/>
      <c r="N8" s="61"/>
      <c r="O8" s="62" t="s">
        <v>14</v>
      </c>
      <c r="P8" s="63">
        <f>(10^-6)*$J$7*$P$7</f>
        <v>0.27778742317441574</v>
      </c>
      <c r="Q8" s="66"/>
      <c r="R8" s="83"/>
      <c r="S8" s="65" t="s">
        <v>100</v>
      </c>
      <c r="T8" s="51">
        <f>$P$3*((1/(0.00094*$B$4)^4)+1.05)</f>
        <v>3.622595119239568</v>
      </c>
      <c r="U8" s="61" t="str">
        <f>"dB/km at "&amp;B4&amp;" nm"</f>
        <v>dB/km at 840 nm</v>
      </c>
      <c r="V8" s="73"/>
      <c r="W8" s="66"/>
      <c r="Y8" s="166" t="s">
        <v>116</v>
      </c>
      <c r="Z8" s="170">
        <v>2.563</v>
      </c>
      <c r="AA8" s="168" t="s">
        <v>67</v>
      </c>
      <c r="AB8" s="61"/>
      <c r="AC8" s="1"/>
      <c r="AD8" s="1"/>
      <c r="AE8" s="1"/>
      <c r="AF8" s="1"/>
    </row>
    <row r="9" spans="1:32" ht="15" customHeight="1">
      <c r="A9" s="62" t="s">
        <v>225</v>
      </c>
      <c r="B9" s="247">
        <f>B8-2*T3</f>
        <v>-137.96723559103577</v>
      </c>
      <c r="C9" s="102" t="s">
        <v>74</v>
      </c>
      <c r="D9" s="65" t="s">
        <v>85</v>
      </c>
      <c r="E9" s="145">
        <v>8250</v>
      </c>
      <c r="F9" s="73" t="s">
        <v>90</v>
      </c>
      <c r="G9" s="73"/>
      <c r="H9" s="61"/>
      <c r="I9" s="258" t="s">
        <v>233</v>
      </c>
      <c r="J9" s="122">
        <v>-1</v>
      </c>
      <c r="K9" s="250">
        <v>357</v>
      </c>
      <c r="L9" s="92" t="s">
        <v>164</v>
      </c>
      <c r="M9" s="67"/>
      <c r="N9" s="61"/>
      <c r="O9" s="62" t="s">
        <v>16</v>
      </c>
      <c r="P9" s="90">
        <f>(P8)</f>
        <v>0.27778742317441574</v>
      </c>
      <c r="Q9" s="66"/>
      <c r="R9" s="83"/>
      <c r="S9" s="91" t="s">
        <v>64</v>
      </c>
      <c r="T9" s="138">
        <f>T10*1000/$E$9</f>
        <v>39.878787878787875</v>
      </c>
      <c r="U9" s="92" t="s">
        <v>87</v>
      </c>
      <c r="V9" s="32"/>
      <c r="W9" s="41"/>
      <c r="Y9" s="171" t="s">
        <v>86</v>
      </c>
      <c r="Z9" s="193">
        <f>ERF(MAX(MIN($Z$8*$P$2*($P$9+1)/(SQRT(8)*$T$9),10),-10))+ERF(MAX(MIN($Z$8*$P$2*(1-$P$9)/(SQRT(8)*$T$9),10),-10))-1</f>
        <v>0.9568318800105882</v>
      </c>
      <c r="AA9" s="172" t="s">
        <v>67</v>
      </c>
      <c r="AB9" s="61"/>
      <c r="AC9" s="1"/>
      <c r="AD9" s="1"/>
      <c r="AE9" s="1"/>
      <c r="AF9" s="1"/>
    </row>
    <row r="10" spans="1:32" ht="15" customHeight="1">
      <c r="A10" s="273" t="s">
        <v>226</v>
      </c>
      <c r="B10" s="81">
        <v>0.5</v>
      </c>
      <c r="C10" s="73"/>
      <c r="D10" s="65" t="s">
        <v>58</v>
      </c>
      <c r="E10" s="81">
        <v>7.5</v>
      </c>
      <c r="F10" s="73"/>
      <c r="G10" s="62"/>
      <c r="H10" s="61"/>
      <c r="I10" s="62" t="s">
        <v>21</v>
      </c>
      <c r="J10" s="116">
        <v>6.5</v>
      </c>
      <c r="K10" s="61"/>
      <c r="L10" s="61"/>
      <c r="M10" s="67"/>
      <c r="N10" s="61"/>
      <c r="O10" s="62" t="s">
        <v>18</v>
      </c>
      <c r="P10" s="49" t="e">
        <f>S35-$T$6</f>
        <v>#NUM!</v>
      </c>
      <c r="Q10" s="67" t="s">
        <v>19</v>
      </c>
      <c r="R10" s="83"/>
      <c r="S10" s="202" t="s">
        <v>141</v>
      </c>
      <c r="T10" s="234">
        <v>329</v>
      </c>
      <c r="U10" s="235" t="s">
        <v>91</v>
      </c>
      <c r="V10" s="73"/>
      <c r="W10" s="103" t="s">
        <v>20</v>
      </c>
      <c r="X10" s="66"/>
      <c r="Y10" s="12" t="s">
        <v>29</v>
      </c>
      <c r="Z10" s="12" t="s">
        <v>24</v>
      </c>
      <c r="AA10" s="150"/>
      <c r="AB10" s="61"/>
      <c r="AC10" s="1"/>
      <c r="AD10" s="1"/>
      <c r="AE10" s="1"/>
      <c r="AF10" s="1"/>
    </row>
    <row r="11" spans="1:32" ht="15" customHeight="1">
      <c r="A11" s="34" t="s">
        <v>17</v>
      </c>
      <c r="B11" s="240">
        <v>0.3</v>
      </c>
      <c r="C11" s="32"/>
      <c r="D11" s="45" t="s">
        <v>59</v>
      </c>
      <c r="E11" s="240">
        <v>1.5</v>
      </c>
      <c r="F11" s="32"/>
      <c r="G11" s="33"/>
      <c r="H11" s="33"/>
      <c r="I11" s="34" t="s">
        <v>65</v>
      </c>
      <c r="J11" s="35">
        <v>0.025</v>
      </c>
      <c r="K11" s="36" t="s">
        <v>57</v>
      </c>
      <c r="L11" s="37"/>
      <c r="M11" s="37"/>
      <c r="N11" s="33"/>
      <c r="O11" s="38" t="s">
        <v>53</v>
      </c>
      <c r="P11" s="39">
        <f>10*LOG10(1/SQRT(1-($J$6*J11)^2))</f>
        <v>0.0682681868313477</v>
      </c>
      <c r="Q11" s="36" t="s">
        <v>54</v>
      </c>
      <c r="R11" s="57"/>
      <c r="S11" s="38" t="s">
        <v>52</v>
      </c>
      <c r="T11" s="40">
        <f>10*LOG10(1/SQRT(1-($J$6*$J$11/$Z$9)^2))</f>
        <v>0.07467657973283322</v>
      </c>
      <c r="U11" s="236" t="s">
        <v>54</v>
      </c>
      <c r="V11" s="73"/>
      <c r="W11" s="93" t="s">
        <v>22</v>
      </c>
      <c r="X11" s="6" t="s">
        <v>23</v>
      </c>
      <c r="Y11" s="10" t="s">
        <v>77</v>
      </c>
      <c r="Z11" s="6" t="s">
        <v>30</v>
      </c>
      <c r="AA11" s="151" t="s">
        <v>68</v>
      </c>
      <c r="AB11" s="61"/>
      <c r="AC11" s="1"/>
      <c r="AD11" s="1"/>
      <c r="AE11" s="1"/>
      <c r="AF11" s="1"/>
    </row>
    <row r="12" spans="1:35" ht="15" customHeight="1">
      <c r="A12" s="242" t="s">
        <v>76</v>
      </c>
      <c r="B12" s="66" t="s">
        <v>215</v>
      </c>
      <c r="C12" s="66" t="s">
        <v>216</v>
      </c>
      <c r="D12" s="72" t="s">
        <v>70</v>
      </c>
      <c r="E12" s="72" t="s">
        <v>146</v>
      </c>
      <c r="F12" s="73" t="s">
        <v>71</v>
      </c>
      <c r="G12" s="73" t="s">
        <v>72</v>
      </c>
      <c r="H12" s="64" t="s">
        <v>32</v>
      </c>
      <c r="I12" s="65" t="s">
        <v>33</v>
      </c>
      <c r="J12" s="66" t="s">
        <v>34</v>
      </c>
      <c r="K12" s="67" t="s">
        <v>35</v>
      </c>
      <c r="L12" s="65" t="s">
        <v>36</v>
      </c>
      <c r="M12" s="65" t="s">
        <v>37</v>
      </c>
      <c r="N12" s="65" t="s">
        <v>38</v>
      </c>
      <c r="O12" s="68" t="s">
        <v>69</v>
      </c>
      <c r="P12" s="256" t="s">
        <v>175</v>
      </c>
      <c r="Q12" s="65" t="s">
        <v>39</v>
      </c>
      <c r="R12" s="69" t="s">
        <v>40</v>
      </c>
      <c r="S12" s="70" t="s">
        <v>42</v>
      </c>
      <c r="T12" s="68" t="s">
        <v>43</v>
      </c>
      <c r="U12" s="67" t="s">
        <v>44</v>
      </c>
      <c r="V12" s="71" t="s">
        <v>28</v>
      </c>
      <c r="W12" s="230" t="s">
        <v>27</v>
      </c>
      <c r="X12" s="6" t="s">
        <v>28</v>
      </c>
      <c r="Y12" s="5" t="s">
        <v>157</v>
      </c>
      <c r="Z12" s="5" t="s">
        <v>158</v>
      </c>
      <c r="AA12" s="151" t="s">
        <v>56</v>
      </c>
      <c r="AB12" s="66" t="s">
        <v>41</v>
      </c>
      <c r="AC12" s="156" t="s">
        <v>123</v>
      </c>
      <c r="AD12" s="1"/>
      <c r="AE12" s="146" t="s">
        <v>101</v>
      </c>
      <c r="AF12" s="173" t="s">
        <v>117</v>
      </c>
      <c r="AG12" s="180" t="s">
        <v>118</v>
      </c>
      <c r="AH12" s="157" t="s">
        <v>119</v>
      </c>
      <c r="AI12" s="157" t="s">
        <v>120</v>
      </c>
    </row>
    <row r="13" spans="1:35" s="33" customFormat="1" ht="15" customHeight="1">
      <c r="A13" s="120" t="s">
        <v>75</v>
      </c>
      <c r="B13" s="42" t="s">
        <v>217</v>
      </c>
      <c r="C13" s="42" t="s">
        <v>217</v>
      </c>
      <c r="D13" s="43" t="s">
        <v>73</v>
      </c>
      <c r="E13" s="43" t="s">
        <v>73</v>
      </c>
      <c r="F13" s="32" t="s">
        <v>97</v>
      </c>
      <c r="G13" s="32" t="s">
        <v>97</v>
      </c>
      <c r="H13" s="44" t="s">
        <v>25</v>
      </c>
      <c r="I13" s="45" t="s">
        <v>25</v>
      </c>
      <c r="J13" s="32"/>
      <c r="K13" s="46"/>
      <c r="L13" s="45" t="s">
        <v>25</v>
      </c>
      <c r="M13" s="45"/>
      <c r="N13" s="45" t="s">
        <v>25</v>
      </c>
      <c r="O13" s="45" t="s">
        <v>25</v>
      </c>
      <c r="P13" s="257" t="s">
        <v>25</v>
      </c>
      <c r="Q13" s="45" t="s">
        <v>25</v>
      </c>
      <c r="R13" s="58" t="s">
        <v>25</v>
      </c>
      <c r="S13" s="46" t="s">
        <v>25</v>
      </c>
      <c r="T13" s="47" t="s">
        <v>25</v>
      </c>
      <c r="U13" s="47" t="s">
        <v>26</v>
      </c>
      <c r="V13" s="48" t="s">
        <v>25</v>
      </c>
      <c r="W13" s="94" t="s">
        <v>45</v>
      </c>
      <c r="X13" s="42" t="s">
        <v>46</v>
      </c>
      <c r="Y13" s="42" t="s">
        <v>25</v>
      </c>
      <c r="Z13" s="42" t="s">
        <v>25</v>
      </c>
      <c r="AA13" s="152" t="s">
        <v>55</v>
      </c>
      <c r="AB13" s="42" t="s">
        <v>25</v>
      </c>
      <c r="AC13" s="132" t="s">
        <v>122</v>
      </c>
      <c r="AD13" s="133" t="s">
        <v>94</v>
      </c>
      <c r="AE13" s="133" t="s">
        <v>121</v>
      </c>
      <c r="AF13" s="174" t="s">
        <v>55</v>
      </c>
      <c r="AG13" s="181" t="s">
        <v>55</v>
      </c>
      <c r="AH13" s="181" t="s">
        <v>55</v>
      </c>
      <c r="AI13" s="181" t="s">
        <v>55</v>
      </c>
    </row>
    <row r="14" spans="1:35" s="114" customFormat="1" ht="15" customHeight="1">
      <c r="A14" s="121">
        <v>0.002</v>
      </c>
      <c r="B14" s="107">
        <f>A14*$B$3</f>
        <v>-0.23552186588921278</v>
      </c>
      <c r="C14" s="125">
        <f>A14*$Z$4</f>
        <v>5.3899999999999996E-05</v>
      </c>
      <c r="D14" s="108">
        <f>(0.187/$B$5)*10^6/(SQRT(B14^2+C14^2))</f>
        <v>2268518.45911292</v>
      </c>
      <c r="E14" s="108">
        <f aca="true" t="shared" si="0" ref="E14:E35">$E$7/A14</f>
        <v>200000</v>
      </c>
      <c r="F14" s="140">
        <f aca="true" t="shared" si="1" ref="F14:F35">SQRT((1000*$J$5/D14)^2+(1000*$J$5/E14)^2+$P$4^2)</f>
        <v>47.87765930063538</v>
      </c>
      <c r="G14" s="140">
        <f aca="true" t="shared" si="2" ref="G14:G35">SQRT(F14^2+$T$9^2)</f>
        <v>62.31041632655873</v>
      </c>
      <c r="H14" s="109">
        <f aca="true" t="shared" si="3" ref="H14:H35">-10*LOG10(2*AG14-1)</f>
        <v>0.6821886755495297</v>
      </c>
      <c r="I14" s="107">
        <f aca="true" t="shared" si="4" ref="I14:I35">A14*$P$3*((1/(0.00094*$B$4)^4)+1.05)</f>
        <v>0.007245190238479136</v>
      </c>
      <c r="J14" s="110">
        <f>(10^-6)*3.14*$P$6*B14*$B$5</f>
        <v>-0.0029659611480273894</v>
      </c>
      <c r="K14" s="107">
        <f aca="true" t="shared" si="5" ref="K14:K35">($B$10/SQRT(2))*(1-EXP(-1*J14^2))</f>
        <v>3.1101691685042364E-06</v>
      </c>
      <c r="L14" s="107">
        <f aca="true" t="shared" si="6" ref="L14:L35">10*LOG10(1/SQRT(1-($J$6*K14)^2))</f>
        <v>1.040153499451278E-09</v>
      </c>
      <c r="M14" s="107"/>
      <c r="N14" s="107"/>
      <c r="O14" s="107">
        <f aca="true" t="shared" si="7" ref="O14:O35">10*LOG10(1/SQRT(1-($J$6*$J$6*((($J$11/AA14)^2)+M14+(K14*K14)))))-$T$11-L14-N14</f>
        <v>0.03772261583773195</v>
      </c>
      <c r="P14" s="175">
        <f aca="true" t="shared" si="8" ref="P14:P35">Y14-Z14</f>
        <v>4.505590279746455</v>
      </c>
      <c r="Q14" s="107">
        <f aca="true" t="shared" si="9" ref="Q14:Q35">$B$11</f>
        <v>0.3</v>
      </c>
      <c r="R14" s="203">
        <f aca="true" t="shared" si="10" ref="R14:R35">-10*LOG10(AA14)-H14</f>
        <v>0.3786229760115085</v>
      </c>
      <c r="S14" s="255">
        <f aca="true" t="shared" si="11" ref="S14:S35">H14+I14+L14+N14+O14+Q14+R14</f>
        <v>1.4057794586774028</v>
      </c>
      <c r="T14" s="107">
        <f aca="true" t="shared" si="12" ref="T14:T35">$E$11+I14</f>
        <v>1.5072451902384791</v>
      </c>
      <c r="U14" s="107">
        <f aca="true" t="shared" si="13" ref="U14:U35">S14-I14</f>
        <v>1.3985342684389237</v>
      </c>
      <c r="V14" s="112">
        <f aca="true" t="shared" si="14" ref="V14:V35">$T$6-S14</f>
        <v>4.594220541322597</v>
      </c>
      <c r="W14" s="113">
        <f aca="true" t="shared" si="15" ref="W14:W35">$J$9-T14-R14-$T$5</f>
        <v>-7.391458445996442</v>
      </c>
      <c r="X14" s="111"/>
      <c r="Y14" s="107">
        <f aca="true" t="shared" si="16" ref="Y14:Y35">10*LOG10((1+10^(-($B$6/10)))/(1-10^(-($B$6/10))))</f>
        <v>6.483617795517881</v>
      </c>
      <c r="Z14" s="107">
        <f aca="true" t="shared" si="17" ref="Z14:Z35">10*LOG10((1+10^(-($J$10/10)))/(1-10^(-($J$10/10))))</f>
        <v>1.978027515771426</v>
      </c>
      <c r="AA14" s="175">
        <f>ERF(AH14)+ERF(AI14)-1</f>
        <v>0.7832832415330018</v>
      </c>
      <c r="AB14" s="111">
        <f aca="true" t="shared" si="18" ref="AB14:AB35">$E$10-$E$11</f>
        <v>6</v>
      </c>
      <c r="AC14" s="134"/>
      <c r="AD14" s="135"/>
      <c r="AE14" s="110"/>
      <c r="AF14" s="178">
        <f aca="true" t="shared" si="19" ref="AF14:AF35">$Z$8*$P$2/(SQRT(8)*G14)</f>
        <v>1.269130927678674</v>
      </c>
      <c r="AG14" s="182">
        <f>IF(ABS(AF14)&lt;10,SIGN(AF14)*ERF(ABS(AF14)),SIGN(AF14))</f>
        <v>0.9273179505147529</v>
      </c>
      <c r="AH14" s="188">
        <f aca="true" t="shared" si="20" ref="AH14:AH35">MAX(MIN($Z$8*$P$2*($P$9+1)/(SQRT(8)*G14),10),-10)</f>
        <v>1.6216795377494886</v>
      </c>
      <c r="AI14" s="189">
        <f aca="true" t="shared" si="21" ref="AI14:AI35">MAX(MIN($Z$8*$P$2*(1-$P$9)/(SQRT(8)*G14),10),-10)</f>
        <v>0.9165823176078594</v>
      </c>
    </row>
    <row r="15" spans="1:35" s="20" customFormat="1" ht="15" customHeight="1">
      <c r="A15" s="261">
        <f>$J$3</f>
        <v>0.039</v>
      </c>
      <c r="B15" s="270">
        <f>A15*$B$3</f>
        <v>-4.592676384839649</v>
      </c>
      <c r="C15" s="127">
        <f>A15*$Z$4</f>
        <v>0.00105105</v>
      </c>
      <c r="D15" s="142">
        <f>(0.187/$B$5)*10^6/(SQRT(B15^2+C15^2))</f>
        <v>116334.27995450873</v>
      </c>
      <c r="E15" s="142">
        <f t="shared" si="0"/>
        <v>10256.410256410256</v>
      </c>
      <c r="F15" s="104">
        <f t="shared" si="1"/>
        <v>67.03528699654845</v>
      </c>
      <c r="G15" s="165">
        <f t="shared" si="2"/>
        <v>78.00030400832406</v>
      </c>
      <c r="H15" s="98">
        <f t="shared" si="3"/>
        <v>1.5693177712294903</v>
      </c>
      <c r="I15" s="95">
        <f t="shared" si="4"/>
        <v>0.14128120965034316</v>
      </c>
      <c r="J15" s="95">
        <f>(10^-6)*3.14*$P$6*B15*$B$5</f>
        <v>-0.05783624238653409</v>
      </c>
      <c r="K15" s="95">
        <f t="shared" si="5"/>
        <v>0.001180671236336805</v>
      </c>
      <c r="L15" s="95">
        <f t="shared" si="6"/>
        <v>0.00014990025570799784</v>
      </c>
      <c r="M15" s="95">
        <f aca="true" t="shared" si="22" ref="M15:M35">$P$5*10^9*($J$5/G15)*10^($B$8/10)</f>
        <v>0.001362206605891155</v>
      </c>
      <c r="N15" s="95">
        <f aca="true" t="shared" si="23" ref="N15:N35">10*LOG10(1/SQRT(1-($J$6^2)*M15))</f>
        <v>0.1516524346429707</v>
      </c>
      <c r="O15" s="95">
        <f t="shared" si="7"/>
        <v>0.11332753084769323</v>
      </c>
      <c r="P15" s="207">
        <f t="shared" si="8"/>
        <v>4.505590279746455</v>
      </c>
      <c r="Q15" s="95">
        <f t="shared" si="9"/>
        <v>0.3</v>
      </c>
      <c r="R15" s="194">
        <f t="shared" si="10"/>
        <v>0.4192148166454379</v>
      </c>
      <c r="S15" s="96">
        <f t="shared" si="11"/>
        <v>2.6949436632716433</v>
      </c>
      <c r="T15" s="95">
        <f t="shared" si="12"/>
        <v>1.641281209650343</v>
      </c>
      <c r="U15" s="95">
        <f t="shared" si="13"/>
        <v>2.5536624536213</v>
      </c>
      <c r="V15" s="100">
        <f t="shared" si="14"/>
        <v>3.3050563367283567</v>
      </c>
      <c r="W15" s="254">
        <f t="shared" si="15"/>
        <v>-7.5660863060422345</v>
      </c>
      <c r="X15" s="19"/>
      <c r="Y15" s="18">
        <f t="shared" si="16"/>
        <v>6.483617795517881</v>
      </c>
      <c r="Z15" s="18">
        <f t="shared" si="17"/>
        <v>1.978027515771426</v>
      </c>
      <c r="AA15" s="206">
        <f>ERF(AH15)+ERF(AI15)-1</f>
        <v>0.6326255694073732</v>
      </c>
      <c r="AB15" s="99">
        <f t="shared" si="18"/>
        <v>6</v>
      </c>
      <c r="AC15" s="183">
        <f aca="true" t="shared" si="24" ref="AC15:AC35">$J$2</f>
        <v>0.069</v>
      </c>
      <c r="AD15" s="185">
        <v>0</v>
      </c>
      <c r="AE15" s="198">
        <f aca="true" t="shared" si="25" ref="AE15:AE35">IF(A15=$J$2,V15,0)</f>
        <v>0</v>
      </c>
      <c r="AF15" s="153">
        <f t="shared" si="19"/>
        <v>1.0138431828179872</v>
      </c>
      <c r="AG15" s="176">
        <f>IF(ABS(AF15)&lt;10,SIGN(AF15)*ERF(ABS(AF15)),SIGN(AF15))</f>
        <v>0.8483679775274298</v>
      </c>
      <c r="AH15" s="191">
        <f t="shared" si="20"/>
        <v>1.295476068075944</v>
      </c>
      <c r="AI15" s="192">
        <f t="shared" si="21"/>
        <v>0.7322102975600304</v>
      </c>
    </row>
    <row r="16" spans="1:35" s="26" customFormat="1" ht="15" customHeight="1">
      <c r="A16" s="262">
        <f aca="true" t="shared" si="26" ref="A16:A35">A15+$J$4</f>
        <v>0.042</v>
      </c>
      <c r="B16" s="271">
        <f>A16*$B$3</f>
        <v>-4.945959183673469</v>
      </c>
      <c r="C16" s="128">
        <f>A16*$Z$4</f>
        <v>0.0011319</v>
      </c>
      <c r="D16" s="143">
        <f>(0.187/$B$5)*10^6/(SQRT(B16^2+C16^2))</f>
        <v>108024.68852918666</v>
      </c>
      <c r="E16" s="143">
        <f t="shared" si="0"/>
        <v>9523.809523809523</v>
      </c>
      <c r="F16" s="105">
        <f t="shared" si="1"/>
        <v>69.6158713764574</v>
      </c>
      <c r="G16" s="105">
        <f t="shared" si="2"/>
        <v>80.22896777464372</v>
      </c>
      <c r="H16" s="50">
        <f t="shared" si="3"/>
        <v>1.7176457055180276</v>
      </c>
      <c r="I16" s="49">
        <f t="shared" si="4"/>
        <v>0.15214899500806187</v>
      </c>
      <c r="J16" s="49">
        <f aca="true" t="shared" si="27" ref="J16:J35">(10^-6)*3.14*$P$6*B16*$B$5</f>
        <v>-0.06228518410857518</v>
      </c>
      <c r="K16" s="49">
        <f t="shared" si="5"/>
        <v>0.0013689335686378776</v>
      </c>
      <c r="L16" s="49">
        <f t="shared" si="6"/>
        <v>0.00020151821884564162</v>
      </c>
      <c r="M16" s="49">
        <f t="shared" si="22"/>
        <v>0.0013243661526359358</v>
      </c>
      <c r="N16" s="49">
        <f t="shared" si="23"/>
        <v>0.14729350089571897</v>
      </c>
      <c r="O16" s="49">
        <f t="shared" si="7"/>
        <v>0.1270650841219887</v>
      </c>
      <c r="P16" s="205">
        <f t="shared" si="8"/>
        <v>4.505590279746455</v>
      </c>
      <c r="Q16" s="49">
        <f t="shared" si="9"/>
        <v>0.3</v>
      </c>
      <c r="R16" s="197">
        <f t="shared" si="10"/>
        <v>0.4215407284701258</v>
      </c>
      <c r="S16" s="53">
        <f t="shared" si="11"/>
        <v>2.8658955322327686</v>
      </c>
      <c r="T16" s="49">
        <f t="shared" si="12"/>
        <v>1.652148995008062</v>
      </c>
      <c r="U16" s="49">
        <f t="shared" si="13"/>
        <v>2.713746537224707</v>
      </c>
      <c r="V16" s="54">
        <f t="shared" si="14"/>
        <v>3.1341044677672314</v>
      </c>
      <c r="W16" s="97">
        <f t="shared" si="15"/>
        <v>-7.579280003224641</v>
      </c>
      <c r="X16" s="25">
        <f aca="true" t="shared" si="28" ref="X16:X34">(V17-V15)/2</f>
        <v>-0.17792427275747325</v>
      </c>
      <c r="Y16" s="23">
        <f t="shared" si="16"/>
        <v>6.483617795517881</v>
      </c>
      <c r="Z16" s="23">
        <f t="shared" si="17"/>
        <v>1.978027515771426</v>
      </c>
      <c r="AA16" s="205">
        <f>ERF(AH16)+ERF(AI16)-1</f>
        <v>0.6110564836992762</v>
      </c>
      <c r="AB16" s="52">
        <f t="shared" si="18"/>
        <v>6</v>
      </c>
      <c r="AC16" s="223">
        <f t="shared" si="24"/>
        <v>0.069</v>
      </c>
      <c r="AD16" s="224">
        <f aca="true" t="shared" si="29" ref="AD16:AD34">AD17</f>
        <v>7.9</v>
      </c>
      <c r="AE16" s="201">
        <f t="shared" si="25"/>
        <v>0</v>
      </c>
      <c r="AF16" s="205">
        <f t="shared" si="19"/>
        <v>0.9856798444509347</v>
      </c>
      <c r="AG16" s="225">
        <f>IF(ABS(AF16)&lt;10,SIGN(AF16)*ERF(ABS(AF16)),SIGN(AF16))</f>
        <v>0.8366707866831662</v>
      </c>
      <c r="AH16" s="193">
        <f t="shared" si="20"/>
        <v>1.259489308515919</v>
      </c>
      <c r="AI16" s="193">
        <f t="shared" si="21"/>
        <v>0.7118703803859506</v>
      </c>
    </row>
    <row r="17" spans="1:35" s="26" customFormat="1" ht="15" customHeight="1">
      <c r="A17" s="262">
        <f t="shared" si="26"/>
        <v>0.045000000000000005</v>
      </c>
      <c r="B17" s="271">
        <f aca="true" t="shared" si="30" ref="B17:B34">A17*$B$3</f>
        <v>-5.299241982507288</v>
      </c>
      <c r="C17" s="128">
        <f aca="true" t="shared" si="31" ref="C17:C34">A17*$Z$4</f>
        <v>0.00121275</v>
      </c>
      <c r="D17" s="143">
        <f aca="true" t="shared" si="32" ref="D17:D35">(0.187/$B$5)*10^6/(SQRT(B17^2+C17^2))</f>
        <v>100823.04262724087</v>
      </c>
      <c r="E17" s="143">
        <f t="shared" si="0"/>
        <v>8888.888888888889</v>
      </c>
      <c r="F17" s="105">
        <f t="shared" si="1"/>
        <v>72.28506666166972</v>
      </c>
      <c r="G17" s="105">
        <f t="shared" si="2"/>
        <v>82.55573017642926</v>
      </c>
      <c r="H17" s="50">
        <f t="shared" si="3"/>
        <v>1.8778402960437983</v>
      </c>
      <c r="I17" s="49">
        <f t="shared" si="4"/>
        <v>0.16301678036578057</v>
      </c>
      <c r="J17" s="49">
        <f t="shared" si="27"/>
        <v>-0.06673412583061628</v>
      </c>
      <c r="K17" s="49">
        <f t="shared" si="5"/>
        <v>0.001571029225526865</v>
      </c>
      <c r="L17" s="49">
        <f t="shared" si="6"/>
        <v>0.00026541440339191346</v>
      </c>
      <c r="M17" s="49">
        <f t="shared" si="22"/>
        <v>0.0012870400292576403</v>
      </c>
      <c r="N17" s="49">
        <f t="shared" si="23"/>
        <v>0.1430023694175311</v>
      </c>
      <c r="O17" s="49">
        <f t="shared" si="7"/>
        <v>0.1430842021676613</v>
      </c>
      <c r="P17" s="205">
        <f t="shared" si="8"/>
        <v>4.505590279746455</v>
      </c>
      <c r="Q17" s="49">
        <f t="shared" si="9"/>
        <v>0.3</v>
      </c>
      <c r="R17" s="197">
        <f t="shared" si="10"/>
        <v>0.42358314638842653</v>
      </c>
      <c r="S17" s="53">
        <f t="shared" si="11"/>
        <v>3.0507922087865897</v>
      </c>
      <c r="T17" s="49">
        <f t="shared" si="12"/>
        <v>1.6630167803657805</v>
      </c>
      <c r="U17" s="49">
        <f t="shared" si="13"/>
        <v>2.887775428420809</v>
      </c>
      <c r="V17" s="54">
        <f t="shared" si="14"/>
        <v>2.9492077912134103</v>
      </c>
      <c r="W17" s="97">
        <f t="shared" si="15"/>
        <v>-7.592190206500661</v>
      </c>
      <c r="X17" s="25">
        <f t="shared" si="28"/>
        <v>-0.19213729649966393</v>
      </c>
      <c r="Y17" s="23">
        <f t="shared" si="16"/>
        <v>6.483617795517881</v>
      </c>
      <c r="Z17" s="23">
        <f t="shared" si="17"/>
        <v>1.978027515771426</v>
      </c>
      <c r="AA17" s="205">
        <f>ERF(AH17)+ERF(AI17)-1</f>
        <v>0.5886506877418491</v>
      </c>
      <c r="AB17" s="52">
        <f t="shared" si="18"/>
        <v>6</v>
      </c>
      <c r="AC17" s="223">
        <f t="shared" si="24"/>
        <v>0.069</v>
      </c>
      <c r="AD17" s="224">
        <f t="shared" si="29"/>
        <v>7.9</v>
      </c>
      <c r="AE17" s="201">
        <f t="shared" si="25"/>
        <v>0</v>
      </c>
      <c r="AF17" s="205">
        <f t="shared" si="19"/>
        <v>0.957899303992205</v>
      </c>
      <c r="AG17" s="225">
        <f>IF(ABS(AF17)&lt;10,SIGN(AF17)*ERF(ABS(AF17)),SIGN(AF17))</f>
        <v>0.8244785366601608</v>
      </c>
      <c r="AH17" s="193">
        <f t="shared" si="20"/>
        <v>1.223991683308766</v>
      </c>
      <c r="AI17" s="193">
        <f t="shared" si="21"/>
        <v>0.6918069246756441</v>
      </c>
    </row>
    <row r="18" spans="1:35" s="26" customFormat="1" ht="15" customHeight="1">
      <c r="A18" s="262">
        <f t="shared" si="26"/>
        <v>0.04800000000000001</v>
      </c>
      <c r="B18" s="271">
        <f t="shared" si="30"/>
        <v>-5.652524781341108</v>
      </c>
      <c r="C18" s="128">
        <f t="shared" si="31"/>
        <v>0.0012936000000000002</v>
      </c>
      <c r="D18" s="143">
        <f t="shared" si="32"/>
        <v>94521.60246303832</v>
      </c>
      <c r="E18" s="143">
        <f t="shared" si="0"/>
        <v>8333.333333333332</v>
      </c>
      <c r="F18" s="105">
        <f t="shared" si="1"/>
        <v>75.03341686905468</v>
      </c>
      <c r="G18" s="105">
        <f t="shared" si="2"/>
        <v>84.97253303113129</v>
      </c>
      <c r="H18" s="50">
        <f t="shared" si="3"/>
        <v>2.0499040478888313</v>
      </c>
      <c r="I18" s="49">
        <f t="shared" si="4"/>
        <v>0.1738845657234993</v>
      </c>
      <c r="J18" s="49">
        <f t="shared" si="27"/>
        <v>-0.07118306755265735</v>
      </c>
      <c r="K18" s="49">
        <f t="shared" si="5"/>
        <v>0.001786934273485704</v>
      </c>
      <c r="L18" s="49">
        <f t="shared" si="6"/>
        <v>0.0003433846782328445</v>
      </c>
      <c r="M18" s="49">
        <f t="shared" si="22"/>
        <v>0.0012504338236301578</v>
      </c>
      <c r="N18" s="49">
        <f t="shared" si="23"/>
        <v>0.13880222209217746</v>
      </c>
      <c r="O18" s="49">
        <f t="shared" si="7"/>
        <v>0.16179764025968252</v>
      </c>
      <c r="P18" s="205">
        <f t="shared" si="8"/>
        <v>4.505590279746455</v>
      </c>
      <c r="Q18" s="49">
        <f t="shared" si="9"/>
        <v>0.3</v>
      </c>
      <c r="R18" s="197">
        <f t="shared" si="10"/>
        <v>0.42543826458967304</v>
      </c>
      <c r="S18" s="53">
        <f t="shared" si="11"/>
        <v>3.2501701252320965</v>
      </c>
      <c r="T18" s="49">
        <f t="shared" si="12"/>
        <v>1.6738845657234993</v>
      </c>
      <c r="U18" s="49">
        <f t="shared" si="13"/>
        <v>3.076285559508597</v>
      </c>
      <c r="V18" s="54">
        <f t="shared" si="14"/>
        <v>2.7498298747679035</v>
      </c>
      <c r="W18" s="97">
        <f t="shared" si="15"/>
        <v>-7.604913110059625</v>
      </c>
      <c r="X18" s="25">
        <f t="shared" si="28"/>
        <v>-0.20695264452649886</v>
      </c>
      <c r="Y18" s="23">
        <f t="shared" si="16"/>
        <v>6.483617795517881</v>
      </c>
      <c r="Z18" s="23">
        <f t="shared" si="17"/>
        <v>1.978027515771426</v>
      </c>
      <c r="AA18" s="205">
        <f>ERF(AH18)+ERF(AI18)-1</f>
        <v>0.5655431790148076</v>
      </c>
      <c r="AB18" s="52">
        <f t="shared" si="18"/>
        <v>6</v>
      </c>
      <c r="AC18" s="223">
        <f t="shared" si="24"/>
        <v>0.069</v>
      </c>
      <c r="AD18" s="224">
        <f t="shared" si="29"/>
        <v>7.9</v>
      </c>
      <c r="AE18" s="201">
        <f t="shared" si="25"/>
        <v>0</v>
      </c>
      <c r="AF18" s="205">
        <f t="shared" si="19"/>
        <v>0.9306545733736971</v>
      </c>
      <c r="AG18" s="225">
        <f>IF(ABS(AF18)&lt;10,SIGN(AF18)*ERF(ABS(AF18)),SIGN(AF18))</f>
        <v>0.8118743081505879</v>
      </c>
      <c r="AH18" s="193">
        <f t="shared" si="20"/>
        <v>1.1891787091766617</v>
      </c>
      <c r="AI18" s="193">
        <f t="shared" si="21"/>
        <v>0.6721304375707325</v>
      </c>
    </row>
    <row r="19" spans="1:35" s="26" customFormat="1" ht="15" customHeight="1">
      <c r="A19" s="262">
        <f t="shared" si="26"/>
        <v>0.05100000000000001</v>
      </c>
      <c r="B19" s="271">
        <f t="shared" si="30"/>
        <v>-6.0058075801749276</v>
      </c>
      <c r="C19" s="128">
        <f t="shared" si="31"/>
        <v>0.0013744500000000002</v>
      </c>
      <c r="D19" s="143">
        <f t="shared" si="32"/>
        <v>88961.50820050664</v>
      </c>
      <c r="E19" s="143">
        <f t="shared" si="0"/>
        <v>7843.137254901959</v>
      </c>
      <c r="F19" s="105">
        <f t="shared" si="1"/>
        <v>77.85253946913595</v>
      </c>
      <c r="G19" s="105">
        <f t="shared" si="2"/>
        <v>87.47191334636923</v>
      </c>
      <c r="H19" s="50">
        <f t="shared" si="3"/>
        <v>2.2338609405198464</v>
      </c>
      <c r="I19" s="49">
        <f t="shared" si="4"/>
        <v>0.184752351081218</v>
      </c>
      <c r="J19" s="49">
        <f t="shared" si="27"/>
        <v>-0.07563200927469844</v>
      </c>
      <c r="K19" s="49">
        <f t="shared" si="5"/>
        <v>0.0020166231537457</v>
      </c>
      <c r="L19" s="49">
        <f t="shared" si="6"/>
        <v>0.00043734347331268763</v>
      </c>
      <c r="M19" s="49">
        <f t="shared" si="22"/>
        <v>0.0012147045299091732</v>
      </c>
      <c r="N19" s="49">
        <f t="shared" si="23"/>
        <v>0.13471051008987722</v>
      </c>
      <c r="O19" s="49">
        <f t="shared" si="7"/>
        <v>0.1837205967345794</v>
      </c>
      <c r="P19" s="205">
        <f t="shared" si="8"/>
        <v>4.505590279746455</v>
      </c>
      <c r="Q19" s="49">
        <f t="shared" si="9"/>
        <v>0.3</v>
      </c>
      <c r="R19" s="197">
        <f t="shared" si="10"/>
        <v>0.4272157559407539</v>
      </c>
      <c r="S19" s="53">
        <f t="shared" si="11"/>
        <v>3.4646974978395875</v>
      </c>
      <c r="T19" s="49">
        <f t="shared" si="12"/>
        <v>1.684752351081218</v>
      </c>
      <c r="U19" s="49">
        <f t="shared" si="13"/>
        <v>3.2799451467583696</v>
      </c>
      <c r="V19" s="54">
        <f t="shared" si="14"/>
        <v>2.5353025021604125</v>
      </c>
      <c r="W19" s="97">
        <f t="shared" si="15"/>
        <v>-7.617558386768425</v>
      </c>
      <c r="X19" s="25">
        <f t="shared" si="28"/>
        <v>-0.22253005945847204</v>
      </c>
      <c r="Y19" s="23">
        <f t="shared" si="16"/>
        <v>6.483617795517881</v>
      </c>
      <c r="Z19" s="23">
        <f t="shared" si="17"/>
        <v>1.978027515771426</v>
      </c>
      <c r="AA19" s="205">
        <f>ERF(AH19)+ERF(AI19)-1</f>
        <v>0.5418665349972454</v>
      </c>
      <c r="AB19" s="52">
        <f t="shared" si="18"/>
        <v>6</v>
      </c>
      <c r="AC19" s="223">
        <f t="shared" si="24"/>
        <v>0.069</v>
      </c>
      <c r="AD19" s="224">
        <f t="shared" si="29"/>
        <v>7.9</v>
      </c>
      <c r="AE19" s="201">
        <f t="shared" si="25"/>
        <v>0</v>
      </c>
      <c r="AF19" s="205">
        <f t="shared" si="19"/>
        <v>0.9040624979063902</v>
      </c>
      <c r="AG19" s="225">
        <f>IF(ABS(AF19)&lt;10,SIGN(AF19)*ERF(ABS(AF19)),SIGN(AF19))</f>
        <v>0.7989399174681353</v>
      </c>
      <c r="AH19" s="193">
        <f t="shared" si="20"/>
        <v>1.155199689588432</v>
      </c>
      <c r="AI19" s="193">
        <f t="shared" si="21"/>
        <v>0.6529253062243484</v>
      </c>
    </row>
    <row r="20" spans="1:35" s="20" customFormat="1" ht="15" customHeight="1">
      <c r="A20" s="261">
        <f t="shared" si="26"/>
        <v>0.05400000000000001</v>
      </c>
      <c r="B20" s="270">
        <f t="shared" si="30"/>
        <v>-6.359090379008747</v>
      </c>
      <c r="C20" s="127">
        <f t="shared" si="31"/>
        <v>0.0014553000000000003</v>
      </c>
      <c r="D20" s="142">
        <f t="shared" si="32"/>
        <v>84019.20218936738</v>
      </c>
      <c r="E20" s="142">
        <f t="shared" si="0"/>
        <v>7407.407407407406</v>
      </c>
      <c r="F20" s="104">
        <f t="shared" si="1"/>
        <v>80.73502106599175</v>
      </c>
      <c r="G20" s="104">
        <f t="shared" si="2"/>
        <v>90.04699522586797</v>
      </c>
      <c r="H20" s="98">
        <f t="shared" si="3"/>
        <v>2.4297751923071855</v>
      </c>
      <c r="I20" s="95">
        <f t="shared" si="4"/>
        <v>0.19562013643893672</v>
      </c>
      <c r="J20" s="95">
        <f t="shared" si="27"/>
        <v>-0.08008095099673954</v>
      </c>
      <c r="K20" s="95">
        <f t="shared" si="5"/>
        <v>0.002260068687330115</v>
      </c>
      <c r="L20" s="95">
        <f t="shared" si="6"/>
        <v>0.0005493228004234278</v>
      </c>
      <c r="M20" s="95">
        <f t="shared" si="22"/>
        <v>0.0011799675171297</v>
      </c>
      <c r="N20" s="95">
        <f t="shared" si="23"/>
        <v>0.13073981208338448</v>
      </c>
      <c r="O20" s="95">
        <f t="shared" si="7"/>
        <v>0.20950401896317328</v>
      </c>
      <c r="P20" s="207">
        <f t="shared" si="8"/>
        <v>4.505590279746455</v>
      </c>
      <c r="Q20" s="95">
        <f t="shared" si="9"/>
        <v>0.3</v>
      </c>
      <c r="R20" s="196">
        <f t="shared" si="10"/>
        <v>0.42904176155593765</v>
      </c>
      <c r="S20" s="96">
        <f t="shared" si="11"/>
        <v>3.6952302441490406</v>
      </c>
      <c r="T20" s="95">
        <f t="shared" si="12"/>
        <v>1.6956201364389367</v>
      </c>
      <c r="U20" s="95">
        <f t="shared" si="13"/>
        <v>3.4996101077101036</v>
      </c>
      <c r="V20" s="100">
        <f t="shared" si="14"/>
        <v>2.3047697558509594</v>
      </c>
      <c r="W20" s="101">
        <f t="shared" si="15"/>
        <v>-7.630252177741328</v>
      </c>
      <c r="X20" s="27">
        <f t="shared" si="28"/>
        <v>-0.23908709519061078</v>
      </c>
      <c r="Y20" s="18">
        <f t="shared" si="16"/>
        <v>6.483617795517881</v>
      </c>
      <c r="Z20" s="18">
        <f t="shared" si="17"/>
        <v>1.978027515771426</v>
      </c>
      <c r="AA20" s="207">
        <f>ERF(AH20)+ERF(AI20)-1</f>
        <v>0.5177478505912532</v>
      </c>
      <c r="AB20" s="99">
        <f t="shared" si="18"/>
        <v>6</v>
      </c>
      <c r="AC20" s="226">
        <f t="shared" si="24"/>
        <v>0.069</v>
      </c>
      <c r="AD20" s="227">
        <f t="shared" si="29"/>
        <v>7.9</v>
      </c>
      <c r="AE20" s="228">
        <f t="shared" si="25"/>
        <v>0</v>
      </c>
      <c r="AF20" s="207">
        <f t="shared" si="19"/>
        <v>0.878208942766059</v>
      </c>
      <c r="AG20" s="229">
        <f>IF(ABS(AF20)&lt;10,SIGN(AF20)*ERF(ABS(AF20)),SIGN(AF20))</f>
        <v>0.7857541096957527</v>
      </c>
      <c r="AH20" s="191">
        <f t="shared" si="20"/>
        <v>1.1221643419857705</v>
      </c>
      <c r="AI20" s="191">
        <f t="shared" si="21"/>
        <v>0.6342535435463476</v>
      </c>
    </row>
    <row r="21" spans="1:35" s="26" customFormat="1" ht="15" customHeight="1">
      <c r="A21" s="262">
        <f t="shared" si="26"/>
        <v>0.057000000000000016</v>
      </c>
      <c r="B21" s="271">
        <f t="shared" si="30"/>
        <v>-6.712373177842567</v>
      </c>
      <c r="C21" s="128">
        <f t="shared" si="31"/>
        <v>0.0015361500000000002</v>
      </c>
      <c r="D21" s="143">
        <f t="shared" si="32"/>
        <v>79597.13891624278</v>
      </c>
      <c r="E21" s="143">
        <f t="shared" si="0"/>
        <v>7017.543859649121</v>
      </c>
      <c r="F21" s="105">
        <f t="shared" si="1"/>
        <v>83.67431398729018</v>
      </c>
      <c r="G21" s="105">
        <f t="shared" si="2"/>
        <v>92.69146963947105</v>
      </c>
      <c r="H21" s="50">
        <f t="shared" si="3"/>
        <v>2.637769880101199</v>
      </c>
      <c r="I21" s="49">
        <f t="shared" si="4"/>
        <v>0.20648792179665543</v>
      </c>
      <c r="J21" s="49">
        <f t="shared" si="27"/>
        <v>-0.08452989271878063</v>
      </c>
      <c r="K21" s="49">
        <f t="shared" si="5"/>
        <v>0.0025172420804142285</v>
      </c>
      <c r="L21" s="49">
        <f t="shared" si="6"/>
        <v>0.0006814712357401622</v>
      </c>
      <c r="M21" s="49">
        <f t="shared" si="22"/>
        <v>0.0011463032120963546</v>
      </c>
      <c r="N21" s="49">
        <f t="shared" si="23"/>
        <v>0.1268986479909236</v>
      </c>
      <c r="O21" s="49">
        <f t="shared" si="7"/>
        <v>0.2399799684134123</v>
      </c>
      <c r="P21" s="205">
        <f t="shared" si="8"/>
        <v>4.505590279746455</v>
      </c>
      <c r="Q21" s="49">
        <f t="shared" si="9"/>
        <v>0.3</v>
      </c>
      <c r="R21" s="197">
        <f t="shared" si="10"/>
        <v>0.43105379868287796</v>
      </c>
      <c r="S21" s="53">
        <f t="shared" si="11"/>
        <v>3.942871688220809</v>
      </c>
      <c r="T21" s="49">
        <f t="shared" si="12"/>
        <v>1.7064879217966555</v>
      </c>
      <c r="U21" s="49">
        <f t="shared" si="13"/>
        <v>3.7363837664241535</v>
      </c>
      <c r="V21" s="54">
        <f t="shared" si="14"/>
        <v>2.057128311779191</v>
      </c>
      <c r="W21" s="97">
        <f t="shared" si="15"/>
        <v>-7.643132000225987</v>
      </c>
      <c r="X21" s="25">
        <f t="shared" si="28"/>
        <v>-0.25691344671808847</v>
      </c>
      <c r="Y21" s="23">
        <f t="shared" si="16"/>
        <v>6.483617795517881</v>
      </c>
      <c r="Z21" s="23">
        <f t="shared" si="17"/>
        <v>1.978027515771426</v>
      </c>
      <c r="AA21" s="205">
        <f>ERF(AH21)+ERF(AI21)-1</f>
        <v>0.4933074021023973</v>
      </c>
      <c r="AB21" s="52">
        <f t="shared" si="18"/>
        <v>6</v>
      </c>
      <c r="AC21" s="223">
        <f t="shared" si="24"/>
        <v>0.069</v>
      </c>
      <c r="AD21" s="224">
        <f t="shared" si="29"/>
        <v>7.9</v>
      </c>
      <c r="AE21" s="201">
        <f t="shared" si="25"/>
        <v>0</v>
      </c>
      <c r="AF21" s="205">
        <f t="shared" si="19"/>
        <v>0.8531537668369754</v>
      </c>
      <c r="AG21" s="225">
        <f>IF(ABS(AF21)&lt;10,SIGN(AF21)*ERF(ABS(AF21)),SIGN(AF21))</f>
        <v>0.7723911644896913</v>
      </c>
      <c r="AH21" s="193">
        <f t="shared" si="20"/>
        <v>1.0901491532981653</v>
      </c>
      <c r="AI21" s="193">
        <f t="shared" si="21"/>
        <v>0.6161583803757857</v>
      </c>
    </row>
    <row r="22" spans="1:35" s="26" customFormat="1" ht="15" customHeight="1">
      <c r="A22" s="262">
        <f t="shared" si="26"/>
        <v>0.06000000000000002</v>
      </c>
      <c r="B22" s="271">
        <f t="shared" si="30"/>
        <v>-7.065655976676386</v>
      </c>
      <c r="C22" s="128">
        <f t="shared" si="31"/>
        <v>0.0016170000000000004</v>
      </c>
      <c r="D22" s="143">
        <f t="shared" si="32"/>
        <v>75617.28197043065</v>
      </c>
      <c r="E22" s="143">
        <f t="shared" si="0"/>
        <v>6666.666666666664</v>
      </c>
      <c r="F22" s="105">
        <f t="shared" si="1"/>
        <v>86.66463803620161</v>
      </c>
      <c r="G22" s="105">
        <f t="shared" si="2"/>
        <v>95.39956608196496</v>
      </c>
      <c r="H22" s="50">
        <f t="shared" si="3"/>
        <v>2.8580458910309265</v>
      </c>
      <c r="I22" s="49">
        <f t="shared" si="4"/>
        <v>0.21735570715437416</v>
      </c>
      <c r="J22" s="49">
        <f t="shared" si="27"/>
        <v>-0.08897883444082172</v>
      </c>
      <c r="K22" s="49">
        <f t="shared" si="5"/>
        <v>0.0027881129300013764</v>
      </c>
      <c r="L22" s="49">
        <f t="shared" si="6"/>
        <v>0.000836052868485783</v>
      </c>
      <c r="M22" s="49">
        <f t="shared" si="22"/>
        <v>0.0011137632354676313</v>
      </c>
      <c r="N22" s="49">
        <f t="shared" si="23"/>
        <v>0.12319221896438623</v>
      </c>
      <c r="O22" s="49">
        <f t="shared" si="7"/>
        <v>0.27622690355286394</v>
      </c>
      <c r="P22" s="205">
        <f t="shared" si="8"/>
        <v>4.505590279746455</v>
      </c>
      <c r="Q22" s="49">
        <f t="shared" si="9"/>
        <v>0.3</v>
      </c>
      <c r="R22" s="197">
        <f t="shared" si="10"/>
        <v>0.4334003640141808</v>
      </c>
      <c r="S22" s="53">
        <f t="shared" si="11"/>
        <v>4.2090571375852175</v>
      </c>
      <c r="T22" s="49">
        <f t="shared" si="12"/>
        <v>1.7173557071543741</v>
      </c>
      <c r="U22" s="49">
        <f t="shared" si="13"/>
        <v>3.9917014304308434</v>
      </c>
      <c r="V22" s="54">
        <f t="shared" si="14"/>
        <v>1.7909428624147825</v>
      </c>
      <c r="W22" s="97">
        <f t="shared" si="15"/>
        <v>-7.656346350915008</v>
      </c>
      <c r="X22" s="25">
        <f t="shared" si="28"/>
        <v>-0.2763982514809975</v>
      </c>
      <c r="Y22" s="23">
        <f t="shared" si="16"/>
        <v>6.483617795517881</v>
      </c>
      <c r="Z22" s="23">
        <f t="shared" si="17"/>
        <v>1.978027515771426</v>
      </c>
      <c r="AA22" s="205">
        <f>ERF(AH22)+ERF(AI22)-1</f>
        <v>0.4686572874066206</v>
      </c>
      <c r="AB22" s="52">
        <f t="shared" si="18"/>
        <v>6</v>
      </c>
      <c r="AC22" s="223">
        <f t="shared" si="24"/>
        <v>0.069</v>
      </c>
      <c r="AD22" s="224">
        <f t="shared" si="29"/>
        <v>7.9</v>
      </c>
      <c r="AE22" s="201">
        <f t="shared" si="25"/>
        <v>0</v>
      </c>
      <c r="AF22" s="205">
        <f t="shared" si="19"/>
        <v>0.828935389586848</v>
      </c>
      <c r="AG22" s="225">
        <f>IF(ABS(AF22)&lt;10,SIGN(AF22)*ERF(ABS(AF22)),SIGN(AF22))</f>
        <v>0.7589198908307582</v>
      </c>
      <c r="AH22" s="193">
        <f t="shared" si="20"/>
        <v>1.0592032154382591</v>
      </c>
      <c r="AI22" s="193">
        <f t="shared" si="21"/>
        <v>0.5986675637354372</v>
      </c>
    </row>
    <row r="23" spans="1:35" s="26" customFormat="1" ht="15" customHeight="1">
      <c r="A23" s="262">
        <f t="shared" si="26"/>
        <v>0.06300000000000001</v>
      </c>
      <c r="B23" s="271">
        <f t="shared" si="30"/>
        <v>-7.418938775510204</v>
      </c>
      <c r="C23" s="128">
        <f t="shared" si="31"/>
        <v>0.0016978500000000003</v>
      </c>
      <c r="D23" s="143">
        <f t="shared" si="32"/>
        <v>72016.45901945776</v>
      </c>
      <c r="E23" s="143">
        <f t="shared" si="0"/>
        <v>6349.206349206348</v>
      </c>
      <c r="F23" s="105">
        <f t="shared" si="1"/>
        <v>89.70088974270428</v>
      </c>
      <c r="G23" s="105">
        <f t="shared" si="2"/>
        <v>98.16601929035397</v>
      </c>
      <c r="H23" s="50">
        <f t="shared" si="3"/>
        <v>3.090901661328043</v>
      </c>
      <c r="I23" s="49">
        <f t="shared" si="4"/>
        <v>0.22822349251209284</v>
      </c>
      <c r="J23" s="49">
        <f t="shared" si="27"/>
        <v>-0.0934277761628628</v>
      </c>
      <c r="K23" s="49">
        <f t="shared" si="5"/>
        <v>0.003072649229912973</v>
      </c>
      <c r="L23" s="49">
        <f t="shared" si="6"/>
        <v>0.0010154462203345125</v>
      </c>
      <c r="M23" s="49">
        <f t="shared" si="22"/>
        <v>0.0010823758582629826</v>
      </c>
      <c r="N23" s="49">
        <f t="shared" si="23"/>
        <v>0.11962305973545044</v>
      </c>
      <c r="O23" s="49">
        <f t="shared" si="7"/>
        <v>0.3196646954511531</v>
      </c>
      <c r="P23" s="205">
        <f t="shared" si="8"/>
        <v>4.505590279746455</v>
      </c>
      <c r="Q23" s="49">
        <f t="shared" si="9"/>
        <v>0.3</v>
      </c>
      <c r="R23" s="197">
        <f t="shared" si="10"/>
        <v>0.43623983593573</v>
      </c>
      <c r="S23" s="53">
        <f t="shared" si="11"/>
        <v>4.495668191182804</v>
      </c>
      <c r="T23" s="49">
        <f t="shared" si="12"/>
        <v>1.7282234925120927</v>
      </c>
      <c r="U23" s="49">
        <f t="shared" si="13"/>
        <v>4.267444698670711</v>
      </c>
      <c r="V23" s="54">
        <f t="shared" si="14"/>
        <v>1.504331808817196</v>
      </c>
      <c r="W23" s="97">
        <f t="shared" si="15"/>
        <v>-7.6700536081942765</v>
      </c>
      <c r="X23" s="25">
        <f t="shared" si="28"/>
        <v>-0.29807194791309843</v>
      </c>
      <c r="Y23" s="23">
        <f t="shared" si="16"/>
        <v>6.483617795517881</v>
      </c>
      <c r="Z23" s="23">
        <f t="shared" si="17"/>
        <v>1.978027515771426</v>
      </c>
      <c r="AA23" s="205">
        <f>ERF(AH23)+ERF(AI23)-1</f>
        <v>0.4439007208471857</v>
      </c>
      <c r="AB23" s="52">
        <f t="shared" si="18"/>
        <v>6</v>
      </c>
      <c r="AC23" s="223">
        <f t="shared" si="24"/>
        <v>0.069</v>
      </c>
      <c r="AD23" s="224">
        <f t="shared" si="29"/>
        <v>7.9</v>
      </c>
      <c r="AE23" s="201">
        <f t="shared" si="25"/>
        <v>0</v>
      </c>
      <c r="AF23" s="205">
        <f t="shared" si="19"/>
        <v>0.8055748521559993</v>
      </c>
      <c r="AG23" s="225">
        <f>IF(ABS(AF23)&lt;10,SIGN(AF23)*ERF(ABS(AF23)),SIGN(AF23))</f>
        <v>0.7454029833991701</v>
      </c>
      <c r="AH23" s="193">
        <f t="shared" si="20"/>
        <v>1.0293534145105254</v>
      </c>
      <c r="AI23" s="193">
        <f t="shared" si="21"/>
        <v>0.5817962898014734</v>
      </c>
    </row>
    <row r="24" spans="1:35" s="26" customFormat="1" ht="15" customHeight="1">
      <c r="A24" s="262">
        <f t="shared" si="26"/>
        <v>0.06600000000000002</v>
      </c>
      <c r="B24" s="271">
        <f t="shared" si="30"/>
        <v>-7.772221574344024</v>
      </c>
      <c r="C24" s="128">
        <f t="shared" si="31"/>
        <v>0.0017787000000000002</v>
      </c>
      <c r="D24" s="143">
        <f t="shared" si="32"/>
        <v>68742.98360948241</v>
      </c>
      <c r="E24" s="143">
        <f t="shared" si="0"/>
        <v>6060.606060606059</v>
      </c>
      <c r="F24" s="105">
        <f t="shared" si="1"/>
        <v>92.77856015968598</v>
      </c>
      <c r="G24" s="105">
        <f t="shared" si="2"/>
        <v>100.9860334303008</v>
      </c>
      <c r="H24" s="50">
        <f t="shared" si="3"/>
        <v>3.3367544674989604</v>
      </c>
      <c r="I24" s="49">
        <f t="shared" si="4"/>
        <v>0.23909127786981155</v>
      </c>
      <c r="J24" s="49">
        <f t="shared" si="27"/>
        <v>-0.09787671788490387</v>
      </c>
      <c r="K24" s="49">
        <f t="shared" si="5"/>
        <v>0.003370817377091687</v>
      </c>
      <c r="L24" s="49">
        <f t="shared" si="6"/>
        <v>0.0012221431403318277</v>
      </c>
      <c r="M24" s="49">
        <f t="shared" si="22"/>
        <v>0.0010521507358241917</v>
      </c>
      <c r="N24" s="49">
        <f t="shared" si="23"/>
        <v>0.11619159999980798</v>
      </c>
      <c r="O24" s="49">
        <f t="shared" si="7"/>
        <v>0.37219777454348446</v>
      </c>
      <c r="P24" s="205">
        <f t="shared" si="8"/>
        <v>4.505590279746455</v>
      </c>
      <c r="Q24" s="49">
        <f t="shared" si="9"/>
        <v>0.3</v>
      </c>
      <c r="R24" s="197">
        <f t="shared" si="10"/>
        <v>0.4397437703590188</v>
      </c>
      <c r="S24" s="53">
        <f t="shared" si="11"/>
        <v>4.805201033411414</v>
      </c>
      <c r="T24" s="49">
        <f t="shared" si="12"/>
        <v>1.7390912778698115</v>
      </c>
      <c r="U24" s="49">
        <f t="shared" si="13"/>
        <v>4.566109755541603</v>
      </c>
      <c r="V24" s="54">
        <f t="shared" si="14"/>
        <v>1.1947989665885856</v>
      </c>
      <c r="W24" s="97">
        <f t="shared" si="15"/>
        <v>-7.684425327975283</v>
      </c>
      <c r="X24" s="25">
        <f t="shared" si="28"/>
        <v>-0.32267342242703423</v>
      </c>
      <c r="Y24" s="23">
        <f t="shared" si="16"/>
        <v>6.483617795517881</v>
      </c>
      <c r="Z24" s="23">
        <f t="shared" si="17"/>
        <v>1.978027515771426</v>
      </c>
      <c r="AA24" s="205">
        <f>ERF(AH24)+ERF(AI24)-1</f>
        <v>0.4191313789528044</v>
      </c>
      <c r="AB24" s="52">
        <f t="shared" si="18"/>
        <v>6</v>
      </c>
      <c r="AC24" s="223">
        <f t="shared" si="24"/>
        <v>0.069</v>
      </c>
      <c r="AD24" s="224">
        <f t="shared" si="29"/>
        <v>7.9</v>
      </c>
      <c r="AE24" s="201">
        <f t="shared" si="25"/>
        <v>0</v>
      </c>
      <c r="AF24" s="205">
        <f t="shared" si="19"/>
        <v>0.783079340680807</v>
      </c>
      <c r="AG24" s="225">
        <f>IF(ABS(AF24)&lt;10,SIGN(AF24)*ERF(ABS(AF24)),SIGN(AF24))</f>
        <v>0.7318966941907992</v>
      </c>
      <c r="AH24" s="193">
        <f t="shared" si="20"/>
        <v>1.0006089328696488</v>
      </c>
      <c r="AI24" s="193">
        <f t="shared" si="21"/>
        <v>0.5655497484919653</v>
      </c>
    </row>
    <row r="25" spans="1:35" s="20" customFormat="1" ht="15" customHeight="1">
      <c r="A25" s="261">
        <f t="shared" si="26"/>
        <v>0.06900000000000002</v>
      </c>
      <c r="B25" s="270">
        <f t="shared" si="30"/>
        <v>-8.125504373177844</v>
      </c>
      <c r="C25" s="127">
        <f t="shared" si="31"/>
        <v>0.0018595500000000004</v>
      </c>
      <c r="D25" s="142">
        <f t="shared" si="32"/>
        <v>65754.15823515708</v>
      </c>
      <c r="E25" s="142">
        <f t="shared" si="0"/>
        <v>5797.101449275361</v>
      </c>
      <c r="F25" s="104">
        <f t="shared" si="1"/>
        <v>95.89366141701376</v>
      </c>
      <c r="G25" s="104">
        <f t="shared" si="2"/>
        <v>103.85524552299817</v>
      </c>
      <c r="H25" s="98">
        <f t="shared" si="3"/>
        <v>3.5961643639542147</v>
      </c>
      <c r="I25" s="95">
        <f t="shared" si="4"/>
        <v>0.24995906322753025</v>
      </c>
      <c r="J25" s="95">
        <f t="shared" si="27"/>
        <v>-0.10232565960694498</v>
      </c>
      <c r="K25" s="95">
        <f t="shared" si="5"/>
        <v>0.003682582178215259</v>
      </c>
      <c r="L25" s="95">
        <f t="shared" si="6"/>
        <v>0.001458747680269979</v>
      </c>
      <c r="M25" s="95">
        <f t="shared" si="22"/>
        <v>0.0010230829347770243</v>
      </c>
      <c r="N25" s="95">
        <f t="shared" si="23"/>
        <v>0.11289663823853921</v>
      </c>
      <c r="O25" s="95">
        <f t="shared" si="7"/>
        <v>0.4364363334613486</v>
      </c>
      <c r="P25" s="207">
        <f t="shared" si="8"/>
        <v>4.505590279746455</v>
      </c>
      <c r="Q25" s="95">
        <f t="shared" si="9"/>
        <v>0.3</v>
      </c>
      <c r="R25" s="196">
        <f t="shared" si="10"/>
        <v>0.44409988947496926</v>
      </c>
      <c r="S25" s="96">
        <f t="shared" si="11"/>
        <v>5.1410150360368725</v>
      </c>
      <c r="T25" s="95">
        <f t="shared" si="12"/>
        <v>1.7499590632275304</v>
      </c>
      <c r="U25" s="95">
        <f t="shared" si="13"/>
        <v>4.891055972809342</v>
      </c>
      <c r="V25" s="100">
        <f t="shared" si="14"/>
        <v>0.8589849639631275</v>
      </c>
      <c r="W25" s="101">
        <f t="shared" si="15"/>
        <v>-7.699649232448953</v>
      </c>
      <c r="X25" s="27">
        <f t="shared" si="28"/>
        <v>-0.3512610259719917</v>
      </c>
      <c r="Y25" s="18">
        <f t="shared" si="16"/>
        <v>6.483617795517881</v>
      </c>
      <c r="Z25" s="18">
        <f t="shared" si="17"/>
        <v>1.978027515771426</v>
      </c>
      <c r="AA25" s="207">
        <f>ERF(AH25)+ERF(AI25)-1</f>
        <v>0.3944333014195198</v>
      </c>
      <c r="AB25" s="99">
        <f t="shared" si="18"/>
        <v>6</v>
      </c>
      <c r="AC25" s="226">
        <f t="shared" si="24"/>
        <v>0.069</v>
      </c>
      <c r="AD25" s="227">
        <f t="shared" si="29"/>
        <v>7.9</v>
      </c>
      <c r="AE25" s="228">
        <f t="shared" si="25"/>
        <v>0.8589849639631275</v>
      </c>
      <c r="AF25" s="207">
        <f t="shared" si="19"/>
        <v>0.7614451834217466</v>
      </c>
      <c r="AG25" s="229">
        <f>IF(ABS(AF25)&lt;10,SIGN(AF25)*ERF(ABS(AF25)),SIGN(AF25))</f>
        <v>0.718450764005091</v>
      </c>
      <c r="AH25" s="191">
        <f t="shared" si="20"/>
        <v>0.972965078813044</v>
      </c>
      <c r="AI25" s="191">
        <f t="shared" si="21"/>
        <v>0.5499252880304493</v>
      </c>
    </row>
    <row r="26" spans="1:35" s="26" customFormat="1" ht="15" customHeight="1">
      <c r="A26" s="262">
        <f t="shared" si="26"/>
        <v>0.07200000000000002</v>
      </c>
      <c r="B26" s="271">
        <f t="shared" si="30"/>
        <v>-8.478787172011662</v>
      </c>
      <c r="C26" s="128">
        <f t="shared" si="31"/>
        <v>0.0019404000000000005</v>
      </c>
      <c r="D26" s="143">
        <f t="shared" si="32"/>
        <v>63014.401642025536</v>
      </c>
      <c r="E26" s="143">
        <f t="shared" si="0"/>
        <v>5555.555555555554</v>
      </c>
      <c r="F26" s="105">
        <f t="shared" si="1"/>
        <v>99.04266174029257</v>
      </c>
      <c r="G26" s="105">
        <f t="shared" si="2"/>
        <v>106.76968936586532</v>
      </c>
      <c r="H26" s="50">
        <f t="shared" si="3"/>
        <v>3.8698622517275805</v>
      </c>
      <c r="I26" s="49">
        <f t="shared" si="4"/>
        <v>0.26082684858524896</v>
      </c>
      <c r="J26" s="49">
        <f t="shared" si="27"/>
        <v>-0.10677460132898604</v>
      </c>
      <c r="K26" s="49">
        <f t="shared" si="5"/>
        <v>0.00400790685661947</v>
      </c>
      <c r="L26" s="49">
        <f t="shared" si="6"/>
        <v>0.0017279749556480266</v>
      </c>
      <c r="M26" s="49">
        <f t="shared" si="22"/>
        <v>0.0009951563033733686</v>
      </c>
      <c r="N26" s="49">
        <f t="shared" si="23"/>
        <v>0.10973573523158536</v>
      </c>
      <c r="O26" s="49">
        <f t="shared" si="7"/>
        <v>0.5160520543113267</v>
      </c>
      <c r="P26" s="205">
        <f t="shared" si="8"/>
        <v>4.505590279746455</v>
      </c>
      <c r="Q26" s="49">
        <f t="shared" si="9"/>
        <v>0.3</v>
      </c>
      <c r="R26" s="197">
        <f t="shared" si="10"/>
        <v>0.44951822054400825</v>
      </c>
      <c r="S26" s="53">
        <f t="shared" si="11"/>
        <v>5.507723085355398</v>
      </c>
      <c r="T26" s="49">
        <f t="shared" si="12"/>
        <v>1.760826848585249</v>
      </c>
      <c r="U26" s="49">
        <f t="shared" si="13"/>
        <v>5.246896236770149</v>
      </c>
      <c r="V26" s="54">
        <f t="shared" si="14"/>
        <v>0.4922769146446022</v>
      </c>
      <c r="W26" s="97">
        <f t="shared" si="15"/>
        <v>-7.7159353488757105</v>
      </c>
      <c r="X26" s="25">
        <f t="shared" si="28"/>
        <v>-0.38540801699860383</v>
      </c>
      <c r="Y26" s="23">
        <f t="shared" si="16"/>
        <v>6.483617795517881</v>
      </c>
      <c r="Z26" s="23">
        <f t="shared" si="17"/>
        <v>1.978027515771426</v>
      </c>
      <c r="AA26" s="205">
        <f>ERF(AH26)+ERF(AI26)-1</f>
        <v>0.3698809400994785</v>
      </c>
      <c r="AB26" s="52">
        <f t="shared" si="18"/>
        <v>6</v>
      </c>
      <c r="AC26" s="223">
        <f t="shared" si="24"/>
        <v>0.069</v>
      </c>
      <c r="AD26" s="224">
        <f t="shared" si="29"/>
        <v>7.9</v>
      </c>
      <c r="AE26" s="201">
        <f t="shared" si="25"/>
        <v>0</v>
      </c>
      <c r="AF26" s="205">
        <f t="shared" si="19"/>
        <v>0.7406603591922791</v>
      </c>
      <c r="AG26" s="225">
        <f>IF(ABS(AF26)&lt;10,SIGN(AF26)*ERF(ABS(AF26)),SIGN(AF26))</f>
        <v>0.7051085569642446</v>
      </c>
      <c r="AH26" s="193">
        <f t="shared" si="20"/>
        <v>0.9464064918197396</v>
      </c>
      <c r="AI26" s="193">
        <f t="shared" si="21"/>
        <v>0.5349142265648187</v>
      </c>
    </row>
    <row r="27" spans="1:35" s="26" customFormat="1" ht="15" customHeight="1">
      <c r="A27" s="262">
        <f t="shared" si="26"/>
        <v>0.07500000000000002</v>
      </c>
      <c r="B27" s="271">
        <f t="shared" si="30"/>
        <v>-8.832069970845483</v>
      </c>
      <c r="C27" s="128">
        <f t="shared" si="31"/>
        <v>0.0020212500000000005</v>
      </c>
      <c r="D27" s="143">
        <f t="shared" si="32"/>
        <v>60493.825576344505</v>
      </c>
      <c r="E27" s="143">
        <f t="shared" si="0"/>
        <v>5333.333333333331</v>
      </c>
      <c r="F27" s="105">
        <f t="shared" si="1"/>
        <v>102.2224283571266</v>
      </c>
      <c r="G27" s="105">
        <f t="shared" si="2"/>
        <v>109.72576079439705</v>
      </c>
      <c r="H27" s="50">
        <f t="shared" si="3"/>
        <v>4.158784077760394</v>
      </c>
      <c r="I27" s="49">
        <f t="shared" si="4"/>
        <v>0.27169463394296767</v>
      </c>
      <c r="J27" s="49">
        <f t="shared" si="27"/>
        <v>-0.11122354305102716</v>
      </c>
      <c r="K27" s="49">
        <f t="shared" si="5"/>
        <v>0.004346753059528498</v>
      </c>
      <c r="L27" s="49">
        <f t="shared" si="6"/>
        <v>0.00203264999745858</v>
      </c>
      <c r="M27" s="49">
        <f t="shared" si="22"/>
        <v>0.0009683462535361431</v>
      </c>
      <c r="N27" s="49">
        <f t="shared" si="23"/>
        <v>0.10670553636854133</v>
      </c>
      <c r="O27" s="49">
        <f t="shared" si="7"/>
        <v>0.6163756101320824</v>
      </c>
      <c r="P27" s="205">
        <f t="shared" si="8"/>
        <v>4.505590279746455</v>
      </c>
      <c r="Q27" s="49">
        <f t="shared" si="9"/>
        <v>0.3</v>
      </c>
      <c r="R27" s="197">
        <f t="shared" si="10"/>
        <v>0.45623856183263634</v>
      </c>
      <c r="S27" s="53">
        <f t="shared" si="11"/>
        <v>5.91183107003408</v>
      </c>
      <c r="T27" s="49">
        <f t="shared" si="12"/>
        <v>1.7716946339429676</v>
      </c>
      <c r="U27" s="49">
        <f t="shared" si="13"/>
        <v>5.640136436091113</v>
      </c>
      <c r="V27" s="54">
        <f t="shared" si="14"/>
        <v>0.08816892996591985</v>
      </c>
      <c r="W27" s="97">
        <f t="shared" si="15"/>
        <v>-7.733523475522057</v>
      </c>
      <c r="X27" s="25">
        <f t="shared" si="28"/>
        <v>-0.4275674557851339</v>
      </c>
      <c r="Y27" s="23">
        <f t="shared" si="16"/>
        <v>6.483617795517881</v>
      </c>
      <c r="Z27" s="23">
        <f t="shared" si="17"/>
        <v>1.978027515771426</v>
      </c>
      <c r="AA27" s="205">
        <f>ERF(AH27)+ERF(AI27)-1</f>
        <v>0.3455395282897795</v>
      </c>
      <c r="AB27" s="52">
        <f t="shared" si="18"/>
        <v>6</v>
      </c>
      <c r="AC27" s="223">
        <f t="shared" si="24"/>
        <v>0.069</v>
      </c>
      <c r="AD27" s="224">
        <f t="shared" si="29"/>
        <v>7.9</v>
      </c>
      <c r="AE27" s="201">
        <f t="shared" si="25"/>
        <v>0</v>
      </c>
      <c r="AF27" s="205">
        <f t="shared" si="19"/>
        <v>0.7207065679384923</v>
      </c>
      <c r="AG27" s="225">
        <f>IF(ABS(AF27)&lt;10,SIGN(AF27)*ERF(ABS(AF27)),SIGN(AF27))</f>
        <v>0.6919073447609796</v>
      </c>
      <c r="AH27" s="193">
        <f t="shared" si="20"/>
        <v>0.9209097883110031</v>
      </c>
      <c r="AI27" s="193">
        <f t="shared" si="21"/>
        <v>0.5205033475659816</v>
      </c>
    </row>
    <row r="28" spans="1:35" s="26" customFormat="1" ht="15" customHeight="1">
      <c r="A28" s="262">
        <f t="shared" si="26"/>
        <v>0.07800000000000003</v>
      </c>
      <c r="B28" s="271">
        <f t="shared" si="30"/>
        <v>-9.185352769679302</v>
      </c>
      <c r="C28" s="128">
        <f t="shared" si="31"/>
        <v>0.0021021000000000004</v>
      </c>
      <c r="D28" s="143">
        <f t="shared" si="32"/>
        <v>58167.139977254345</v>
      </c>
      <c r="E28" s="143">
        <f t="shared" si="0"/>
        <v>5128.205128205126</v>
      </c>
      <c r="F28" s="105">
        <f t="shared" si="1"/>
        <v>105.43017757662402</v>
      </c>
      <c r="G28" s="105">
        <f t="shared" si="2"/>
        <v>112.72018482294922</v>
      </c>
      <c r="H28" s="50">
        <f t="shared" si="3"/>
        <v>4.464105529639594</v>
      </c>
      <c r="I28" s="49">
        <f t="shared" si="4"/>
        <v>0.28256241930068643</v>
      </c>
      <c r="J28" s="49">
        <f t="shared" si="27"/>
        <v>-0.11567248477306824</v>
      </c>
      <c r="K28" s="49">
        <f t="shared" si="5"/>
        <v>0.00469908086559026</v>
      </c>
      <c r="L28" s="49">
        <f t="shared" si="6"/>
        <v>0.0023757066002156714</v>
      </c>
      <c r="M28" s="49">
        <f t="shared" si="22"/>
        <v>0.0009426220294843319</v>
      </c>
      <c r="N28" s="49">
        <f t="shared" si="23"/>
        <v>0.10380203238813973</v>
      </c>
      <c r="O28" s="49">
        <f t="shared" si="7"/>
        <v>0.7454596925733863</v>
      </c>
      <c r="P28" s="205">
        <f t="shared" si="8"/>
        <v>4.505590279746455</v>
      </c>
      <c r="Q28" s="49">
        <f t="shared" si="9"/>
        <v>0.3</v>
      </c>
      <c r="R28" s="197">
        <f t="shared" si="10"/>
        <v>0.4645526164236431</v>
      </c>
      <c r="S28" s="53">
        <f t="shared" si="11"/>
        <v>6.362857996925666</v>
      </c>
      <c r="T28" s="49">
        <f t="shared" si="12"/>
        <v>1.7825624193006864</v>
      </c>
      <c r="U28" s="49">
        <f t="shared" si="13"/>
        <v>6.080295577624979</v>
      </c>
      <c r="V28" s="54">
        <f t="shared" si="14"/>
        <v>-0.36285799692566556</v>
      </c>
      <c r="W28" s="97">
        <f t="shared" si="15"/>
        <v>-7.752705315470783</v>
      </c>
      <c r="X28" s="25">
        <f t="shared" si="28"/>
        <v>-0.48180167974894106</v>
      </c>
      <c r="Y28" s="23">
        <f t="shared" si="16"/>
        <v>6.483617795517881</v>
      </c>
      <c r="Z28" s="23">
        <f t="shared" si="17"/>
        <v>1.978027515771426</v>
      </c>
      <c r="AA28" s="205">
        <f>ERF(AH28)+ERF(AI28)-1</f>
        <v>0.32146536273118453</v>
      </c>
      <c r="AB28" s="52">
        <f t="shared" si="18"/>
        <v>6</v>
      </c>
      <c r="AC28" s="223">
        <f t="shared" si="24"/>
        <v>0.069</v>
      </c>
      <c r="AD28" s="224">
        <f t="shared" si="29"/>
        <v>7.9</v>
      </c>
      <c r="AE28" s="201">
        <f t="shared" si="25"/>
        <v>0</v>
      </c>
      <c r="AF28" s="205">
        <f t="shared" si="19"/>
        <v>0.7015609191981169</v>
      </c>
      <c r="AG28" s="225">
        <f>IF(ABS(AF28)&lt;10,SIGN(AF28)*ERF(ABS(AF28)),SIGN(AF28))</f>
        <v>0.678879038316053</v>
      </c>
      <c r="AH28" s="193">
        <f t="shared" si="20"/>
        <v>0.8964457191420363</v>
      </c>
      <c r="AI28" s="193">
        <f t="shared" si="21"/>
        <v>0.5066761192541975</v>
      </c>
    </row>
    <row r="29" spans="1:35" s="26" customFormat="1" ht="15" customHeight="1">
      <c r="A29" s="262">
        <f t="shared" si="26"/>
        <v>0.08100000000000003</v>
      </c>
      <c r="B29" s="271">
        <f t="shared" si="30"/>
        <v>-9.538635568513122</v>
      </c>
      <c r="C29" s="128">
        <f t="shared" si="31"/>
        <v>0.0021829500000000008</v>
      </c>
      <c r="D29" s="143">
        <f t="shared" si="32"/>
        <v>56012.80145957825</v>
      </c>
      <c r="E29" s="143">
        <f t="shared" si="0"/>
        <v>4938.27160493827</v>
      </c>
      <c r="F29" s="105">
        <f t="shared" si="1"/>
        <v>108.66343128409758</v>
      </c>
      <c r="G29" s="105">
        <f t="shared" si="2"/>
        <v>115.7499849724187</v>
      </c>
      <c r="H29" s="50">
        <f t="shared" si="3"/>
        <v>4.787329187788304</v>
      </c>
      <c r="I29" s="49">
        <f t="shared" si="4"/>
        <v>0.29343020465840514</v>
      </c>
      <c r="J29" s="49">
        <f t="shared" si="27"/>
        <v>-0.12012142649510933</v>
      </c>
      <c r="K29" s="49">
        <f t="shared" si="5"/>
        <v>0.0050648487927151785</v>
      </c>
      <c r="L29" s="49">
        <f t="shared" si="6"/>
        <v>0.002760186171752315</v>
      </c>
      <c r="M29" s="49">
        <f t="shared" si="22"/>
        <v>0.0009179485371594268</v>
      </c>
      <c r="N29" s="49">
        <f t="shared" si="23"/>
        <v>0.10102076788755436</v>
      </c>
      <c r="O29" s="49">
        <f t="shared" si="7"/>
        <v>0.9161061396544183</v>
      </c>
      <c r="P29" s="205">
        <f t="shared" si="8"/>
        <v>4.505590279746455</v>
      </c>
      <c r="Q29" s="49">
        <f t="shared" si="9"/>
        <v>0.3</v>
      </c>
      <c r="R29" s="197">
        <f t="shared" si="10"/>
        <v>0.4747879433715285</v>
      </c>
      <c r="S29" s="53">
        <f t="shared" si="11"/>
        <v>6.875434429531962</v>
      </c>
      <c r="T29" s="49">
        <f t="shared" si="12"/>
        <v>1.7934302046584052</v>
      </c>
      <c r="U29" s="49">
        <f t="shared" si="13"/>
        <v>6.5820042248735575</v>
      </c>
      <c r="V29" s="54">
        <f t="shared" si="14"/>
        <v>-0.8754344295319623</v>
      </c>
      <c r="W29" s="97">
        <f t="shared" si="15"/>
        <v>-7.7738084277763875</v>
      </c>
      <c r="X29" s="25">
        <f t="shared" si="28"/>
        <v>-0.5553971372322581</v>
      </c>
      <c r="Y29" s="23">
        <f t="shared" si="16"/>
        <v>6.483617795517881</v>
      </c>
      <c r="Z29" s="23">
        <f t="shared" si="17"/>
        <v>1.978027515771426</v>
      </c>
      <c r="AA29" s="205">
        <f>ERF(AH29)+ERF(AI29)-1</f>
        <v>0.2977064793861799</v>
      </c>
      <c r="AB29" s="52">
        <f t="shared" si="18"/>
        <v>6</v>
      </c>
      <c r="AC29" s="223">
        <f t="shared" si="24"/>
        <v>0.069</v>
      </c>
      <c r="AD29" s="224">
        <f t="shared" si="29"/>
        <v>7.9</v>
      </c>
      <c r="AE29" s="201">
        <f t="shared" si="25"/>
        <v>0</v>
      </c>
      <c r="AF29" s="205">
        <f t="shared" si="19"/>
        <v>0.6831972936792462</v>
      </c>
      <c r="AG29" s="225">
        <f>IF(ABS(AF29)&lt;10,SIGN(AF29)*ERF(ABS(AF29)),SIGN(AF29))</f>
        <v>0.6660493139315982</v>
      </c>
      <c r="AH29" s="193">
        <f t="shared" si="20"/>
        <v>0.8729809094101386</v>
      </c>
      <c r="AI29" s="193">
        <f t="shared" si="21"/>
        <v>0.49341367794835383</v>
      </c>
    </row>
    <row r="30" spans="1:35" s="20" customFormat="1" ht="15" customHeight="1">
      <c r="A30" s="261">
        <f t="shared" si="26"/>
        <v>0.08400000000000003</v>
      </c>
      <c r="B30" s="270">
        <f t="shared" si="30"/>
        <v>-9.89191836734694</v>
      </c>
      <c r="C30" s="127">
        <f t="shared" si="31"/>
        <v>0.0022638000000000007</v>
      </c>
      <c r="D30" s="142">
        <f t="shared" si="32"/>
        <v>54012.34426459331</v>
      </c>
      <c r="E30" s="142">
        <f t="shared" si="0"/>
        <v>4761.90476190476</v>
      </c>
      <c r="F30" s="104">
        <f t="shared" si="1"/>
        <v>111.9199791056711</v>
      </c>
      <c r="G30" s="104">
        <f t="shared" si="2"/>
        <v>118.8124549266415</v>
      </c>
      <c r="H30" s="98">
        <f t="shared" si="3"/>
        <v>5.130313458022689</v>
      </c>
      <c r="I30" s="95">
        <f t="shared" si="4"/>
        <v>0.30429799001612384</v>
      </c>
      <c r="J30" s="95">
        <f t="shared" si="27"/>
        <v>-0.12457036821715042</v>
      </c>
      <c r="K30" s="95">
        <f t="shared" si="5"/>
        <v>0.00544401380621566</v>
      </c>
      <c r="L30" s="95">
        <f t="shared" si="6"/>
        <v>0.003189236590440062</v>
      </c>
      <c r="M30" s="95">
        <f t="shared" si="22"/>
        <v>0.0008942878038103076</v>
      </c>
      <c r="N30" s="95">
        <f t="shared" si="23"/>
        <v>0.09835700619507018</v>
      </c>
      <c r="O30" s="95">
        <f t="shared" si="7"/>
        <v>1.1501174935773033</v>
      </c>
      <c r="P30" s="207">
        <f t="shared" si="8"/>
        <v>4.505590279746455</v>
      </c>
      <c r="Q30" s="95">
        <f t="shared" si="9"/>
        <v>0.3</v>
      </c>
      <c r="R30" s="196">
        <f t="shared" si="10"/>
        <v>0.48737708698855453</v>
      </c>
      <c r="S30" s="96">
        <f t="shared" si="11"/>
        <v>7.473652271390182</v>
      </c>
      <c r="T30" s="95">
        <f t="shared" si="12"/>
        <v>1.8042979900161238</v>
      </c>
      <c r="U30" s="95">
        <f t="shared" si="13"/>
        <v>7.169354281374058</v>
      </c>
      <c r="V30" s="100">
        <f t="shared" si="14"/>
        <v>-1.4736522713901818</v>
      </c>
      <c r="W30" s="101">
        <f t="shared" si="15"/>
        <v>-7.797265356751131</v>
      </c>
      <c r="X30" s="27">
        <f t="shared" si="28"/>
        <v>-0.6629676022593705</v>
      </c>
      <c r="Y30" s="18">
        <f t="shared" si="16"/>
        <v>6.483617795517881</v>
      </c>
      <c r="Z30" s="18">
        <f t="shared" si="17"/>
        <v>1.978027515771426</v>
      </c>
      <c r="AA30" s="207">
        <f>ERF(AH30)+ERF(AI30)-1</f>
        <v>0.2743032451085943</v>
      </c>
      <c r="AB30" s="99">
        <f t="shared" si="18"/>
        <v>6</v>
      </c>
      <c r="AC30" s="226">
        <f t="shared" si="24"/>
        <v>0.069</v>
      </c>
      <c r="AD30" s="227">
        <f t="shared" si="29"/>
        <v>7.9</v>
      </c>
      <c r="AE30" s="228">
        <f t="shared" si="25"/>
        <v>0</v>
      </c>
      <c r="AF30" s="207">
        <f t="shared" si="19"/>
        <v>0.665587429578796</v>
      </c>
      <c r="AG30" s="229">
        <f>IF(ABS(AF30)&lt;10,SIGN(AF30)*ERF(ABS(AF30)),SIGN(AF30))</f>
        <v>0.6534400242748368</v>
      </c>
      <c r="AH30" s="191">
        <f t="shared" si="20"/>
        <v>0.8504792465387727</v>
      </c>
      <c r="AI30" s="191">
        <f t="shared" si="21"/>
        <v>0.48069561261881943</v>
      </c>
    </row>
    <row r="31" spans="1:35" s="26" customFormat="1" ht="15" customHeight="1">
      <c r="A31" s="262">
        <f t="shared" si="26"/>
        <v>0.08700000000000004</v>
      </c>
      <c r="B31" s="271">
        <f t="shared" si="30"/>
        <v>-10.245201166180761</v>
      </c>
      <c r="C31" s="128">
        <f t="shared" si="31"/>
        <v>0.0023446500000000006</v>
      </c>
      <c r="D31" s="143">
        <f t="shared" si="32"/>
        <v>52149.84963477975</v>
      </c>
      <c r="E31" s="143">
        <f t="shared" si="0"/>
        <v>4597.701149425286</v>
      </c>
      <c r="F31" s="105">
        <f t="shared" si="1"/>
        <v>115.19784554226106</v>
      </c>
      <c r="G31" s="105">
        <f t="shared" si="2"/>
        <v>121.90513254272766</v>
      </c>
      <c r="H31" s="50">
        <f t="shared" si="3"/>
        <v>5.495402046686708</v>
      </c>
      <c r="I31" s="49">
        <f t="shared" si="4"/>
        <v>0.31516577537384255</v>
      </c>
      <c r="J31" s="49">
        <f t="shared" si="27"/>
        <v>-0.12901930993919153</v>
      </c>
      <c r="K31" s="49">
        <f t="shared" si="5"/>
        <v>0.005836531327244633</v>
      </c>
      <c r="L31" s="49">
        <f t="shared" si="6"/>
        <v>0.0036661110755993225</v>
      </c>
      <c r="M31" s="49">
        <f t="shared" si="22"/>
        <v>0.0008716001300799697</v>
      </c>
      <c r="N31" s="49">
        <f t="shared" si="23"/>
        <v>0.09580585823594692</v>
      </c>
      <c r="O31" s="49">
        <f t="shared" si="7"/>
        <v>1.4884670060618979</v>
      </c>
      <c r="P31" s="205">
        <f t="shared" si="8"/>
        <v>4.505590279746455</v>
      </c>
      <c r="Q31" s="49">
        <f t="shared" si="9"/>
        <v>0.3</v>
      </c>
      <c r="R31" s="197">
        <f t="shared" si="10"/>
        <v>0.5028628366167096</v>
      </c>
      <c r="S31" s="53">
        <f t="shared" si="11"/>
        <v>8.201369634050703</v>
      </c>
      <c r="T31" s="49">
        <f t="shared" si="12"/>
        <v>1.8151657753738426</v>
      </c>
      <c r="U31" s="49">
        <f t="shared" si="13"/>
        <v>7.88620385867686</v>
      </c>
      <c r="V31" s="54">
        <f t="shared" si="14"/>
        <v>-2.201369634050703</v>
      </c>
      <c r="W31" s="97">
        <f t="shared" si="15"/>
        <v>-7.823618891737006</v>
      </c>
      <c r="X31" s="25">
        <f t="shared" si="28"/>
        <v>-0.8392283511955614</v>
      </c>
      <c r="Y31" s="23">
        <f t="shared" si="16"/>
        <v>6.483617795517881</v>
      </c>
      <c r="Z31" s="23">
        <f t="shared" si="17"/>
        <v>1.978027515771426</v>
      </c>
      <c r="AA31" s="205">
        <f>ERF(AH31)+ERF(AI31)-1</f>
        <v>0.2512890194401758</v>
      </c>
      <c r="AB31" s="52">
        <f t="shared" si="18"/>
        <v>6</v>
      </c>
      <c r="AC31" s="223">
        <f t="shared" si="24"/>
        <v>0.069</v>
      </c>
      <c r="AD31" s="224">
        <f t="shared" si="29"/>
        <v>7.9</v>
      </c>
      <c r="AE31" s="201">
        <f t="shared" si="25"/>
        <v>0</v>
      </c>
      <c r="AF31" s="205">
        <f t="shared" si="19"/>
        <v>0.6487017800407409</v>
      </c>
      <c r="AG31" s="225">
        <f>IF(ABS(AF31)&lt;10,SIGN(AF31)*ERF(ABS(AF31)),SIGN(AF31))</f>
        <v>0.641068419187579</v>
      </c>
      <c r="AH31" s="193">
        <f t="shared" si="20"/>
        <v>0.828902975926915</v>
      </c>
      <c r="AI31" s="193">
        <f t="shared" si="21"/>
        <v>0.4685005841545668</v>
      </c>
    </row>
    <row r="32" spans="1:35" s="26" customFormat="1" ht="15" customHeight="1">
      <c r="A32" s="262">
        <f t="shared" si="26"/>
        <v>0.09000000000000004</v>
      </c>
      <c r="B32" s="271">
        <f t="shared" si="30"/>
        <v>-10.59848396501458</v>
      </c>
      <c r="C32" s="128">
        <f t="shared" si="31"/>
        <v>0.002425500000000001</v>
      </c>
      <c r="D32" s="143">
        <f t="shared" si="32"/>
        <v>50411.521313620426</v>
      </c>
      <c r="E32" s="143">
        <f t="shared" si="0"/>
        <v>4444.4444444444425</v>
      </c>
      <c r="F32" s="105">
        <f t="shared" si="1"/>
        <v>118.49526143322419</v>
      </c>
      <c r="G32" s="105">
        <f t="shared" si="2"/>
        <v>125.025776161596</v>
      </c>
      <c r="H32" s="50">
        <f t="shared" si="3"/>
        <v>5.8855551938268515</v>
      </c>
      <c r="I32" s="49">
        <f t="shared" si="4"/>
        <v>0.32603356073156126</v>
      </c>
      <c r="J32" s="49">
        <f t="shared" si="27"/>
        <v>-0.1334682516612326</v>
      </c>
      <c r="K32" s="49">
        <f t="shared" si="5"/>
        <v>0.006242355241530248</v>
      </c>
      <c r="L32" s="49">
        <f t="shared" si="6"/>
        <v>0.004194167076981432</v>
      </c>
      <c r="M32" s="49">
        <f t="shared" si="22"/>
        <v>0.0008498449891190903</v>
      </c>
      <c r="N32" s="49">
        <f t="shared" si="23"/>
        <v>0.0933623819956665</v>
      </c>
      <c r="O32" s="49">
        <f t="shared" si="7"/>
        <v>2.0210063098416304</v>
      </c>
      <c r="P32" s="205">
        <f t="shared" si="8"/>
        <v>4.505590279746455</v>
      </c>
      <c r="Q32" s="49">
        <f t="shared" si="9"/>
        <v>0.3</v>
      </c>
      <c r="R32" s="197">
        <f t="shared" si="10"/>
        <v>0.5219573603086136</v>
      </c>
      <c r="S32" s="53">
        <f t="shared" si="11"/>
        <v>9.152108973781305</v>
      </c>
      <c r="T32" s="49">
        <f t="shared" si="12"/>
        <v>1.8260335607315612</v>
      </c>
      <c r="U32" s="49">
        <f t="shared" si="13"/>
        <v>8.826075413049743</v>
      </c>
      <c r="V32" s="54">
        <f t="shared" si="14"/>
        <v>-3.1521089737813046</v>
      </c>
      <c r="W32" s="97">
        <f t="shared" si="15"/>
        <v>-7.853581200786628</v>
      </c>
      <c r="X32" s="25">
        <f t="shared" si="28"/>
        <v>-1.1957009159154888</v>
      </c>
      <c r="Y32" s="23">
        <f t="shared" si="16"/>
        <v>6.483617795517881</v>
      </c>
      <c r="Z32" s="23">
        <f t="shared" si="17"/>
        <v>1.978027515771426</v>
      </c>
      <c r="AA32" s="205">
        <f>ERF(AH32)+ERF(AI32)-1</f>
        <v>0.22869082678019614</v>
      </c>
      <c r="AB32" s="52">
        <f t="shared" si="18"/>
        <v>6</v>
      </c>
      <c r="AC32" s="223">
        <f t="shared" si="24"/>
        <v>0.069</v>
      </c>
      <c r="AD32" s="224">
        <f t="shared" si="29"/>
        <v>7.9</v>
      </c>
      <c r="AE32" s="201">
        <f t="shared" si="25"/>
        <v>0</v>
      </c>
      <c r="AF32" s="205">
        <f t="shared" si="19"/>
        <v>0.6325101823351911</v>
      </c>
      <c r="AG32" s="225">
        <f>IF(ABS(AF32)&lt;10,SIGN(AF32)*ERF(ABS(AF32)),SIGN(AF32))</f>
        <v>0.6289479627047276</v>
      </c>
      <c r="AH32" s="193">
        <f t="shared" si="20"/>
        <v>0.8082135560176638</v>
      </c>
      <c r="AI32" s="193">
        <f t="shared" si="21"/>
        <v>0.4568068086527185</v>
      </c>
    </row>
    <row r="33" spans="1:35" s="26" customFormat="1" ht="15" customHeight="1">
      <c r="A33" s="262">
        <f t="shared" si="26"/>
        <v>0.09300000000000004</v>
      </c>
      <c r="B33" s="271">
        <f t="shared" si="30"/>
        <v>-10.951766763848399</v>
      </c>
      <c r="C33" s="128">
        <f t="shared" si="31"/>
        <v>0.002506350000000001</v>
      </c>
      <c r="D33" s="143">
        <f t="shared" si="32"/>
        <v>48785.34320672944</v>
      </c>
      <c r="E33" s="143">
        <f t="shared" si="0"/>
        <v>4301.075268817202</v>
      </c>
      <c r="F33" s="105">
        <f t="shared" si="1"/>
        <v>121.81063917680751</v>
      </c>
      <c r="G33" s="105">
        <f t="shared" si="2"/>
        <v>128.17234311404218</v>
      </c>
      <c r="H33" s="50">
        <f t="shared" si="3"/>
        <v>6.3045471911772015</v>
      </c>
      <c r="I33" s="49">
        <f t="shared" si="4"/>
        <v>0.33690134608927996</v>
      </c>
      <c r="J33" s="49">
        <f t="shared" si="27"/>
        <v>-0.13791719338327366</v>
      </c>
      <c r="K33" s="49">
        <f t="shared" si="5"/>
        <v>0.006661437908404772</v>
      </c>
      <c r="L33" s="49">
        <f t="shared" si="6"/>
        <v>0.004776865189281783</v>
      </c>
      <c r="M33" s="49">
        <f t="shared" si="22"/>
        <v>0.00082898171945814</v>
      </c>
      <c r="N33" s="49">
        <f t="shared" si="23"/>
        <v>0.09102165818959718</v>
      </c>
      <c r="O33" s="49">
        <f t="shared" si="7"/>
        <v>3.0099034366684907</v>
      </c>
      <c r="P33" s="205">
        <f t="shared" si="8"/>
        <v>4.505590279746455</v>
      </c>
      <c r="Q33" s="49">
        <f t="shared" si="9"/>
        <v>0.3</v>
      </c>
      <c r="R33" s="197">
        <f t="shared" si="10"/>
        <v>0.5456209685678282</v>
      </c>
      <c r="S33" s="53">
        <f t="shared" si="11"/>
        <v>10.59277146588168</v>
      </c>
      <c r="T33" s="49">
        <f t="shared" si="12"/>
        <v>1.83690134608928</v>
      </c>
      <c r="U33" s="49">
        <f t="shared" si="13"/>
        <v>10.255870119792402</v>
      </c>
      <c r="V33" s="54">
        <f t="shared" si="14"/>
        <v>-4.592771465881681</v>
      </c>
      <c r="W33" s="97">
        <f t="shared" si="15"/>
        <v>-7.8881125944035615</v>
      </c>
      <c r="X33" s="25">
        <f t="shared" si="28"/>
        <v>-2.5989563863066314</v>
      </c>
      <c r="Y33" s="23">
        <f t="shared" si="16"/>
        <v>6.483617795517881</v>
      </c>
      <c r="Z33" s="23">
        <f t="shared" si="17"/>
        <v>1.978027515771426</v>
      </c>
      <c r="AA33" s="205">
        <f>ERF(AH33)+ERF(AI33)-1</f>
        <v>0.2065300185400838</v>
      </c>
      <c r="AB33" s="52">
        <f t="shared" si="18"/>
        <v>6</v>
      </c>
      <c r="AC33" s="223">
        <f t="shared" si="24"/>
        <v>0.069</v>
      </c>
      <c r="AD33" s="224">
        <f t="shared" si="29"/>
        <v>7.9</v>
      </c>
      <c r="AE33" s="201">
        <f t="shared" si="25"/>
        <v>0</v>
      </c>
      <c r="AF33" s="205">
        <f t="shared" si="19"/>
        <v>0.6169823735391016</v>
      </c>
      <c r="AG33" s="225">
        <f>IF(ABS(AF33)&lt;10,SIGN(AF33)*ERF(ABS(AF33)),SIGN(AF33))</f>
        <v>0.6170887811595517</v>
      </c>
      <c r="AH33" s="193">
        <f t="shared" si="20"/>
        <v>0.7883723172285635</v>
      </c>
      <c r="AI33" s="193">
        <f t="shared" si="21"/>
        <v>0.44559242984963976</v>
      </c>
    </row>
    <row r="34" spans="1:35" s="26" customFormat="1" ht="15" customHeight="1">
      <c r="A34" s="262">
        <f t="shared" si="26"/>
        <v>0.09600000000000004</v>
      </c>
      <c r="B34" s="271">
        <f t="shared" si="30"/>
        <v>-11.30504956268222</v>
      </c>
      <c r="C34" s="128">
        <f t="shared" si="31"/>
        <v>0.002587200000000001</v>
      </c>
      <c r="D34" s="143">
        <f t="shared" si="32"/>
        <v>47260.801231519144</v>
      </c>
      <c r="E34" s="143">
        <f t="shared" si="0"/>
        <v>4166.666666666665</v>
      </c>
      <c r="F34" s="105">
        <f t="shared" si="1"/>
        <v>125.14255120134541</v>
      </c>
      <c r="G34" s="105">
        <f t="shared" si="2"/>
        <v>131.34297028719396</v>
      </c>
      <c r="H34" s="50">
        <f t="shared" si="3"/>
        <v>6.757253906413771</v>
      </c>
      <c r="I34" s="49">
        <f t="shared" si="4"/>
        <v>0.34776913144699867</v>
      </c>
      <c r="J34" s="49">
        <f t="shared" si="27"/>
        <v>-0.1423661351053148</v>
      </c>
      <c r="K34" s="49">
        <f t="shared" si="5"/>
        <v>0.0070937301701252875</v>
      </c>
      <c r="L34" s="49">
        <f t="shared" si="6"/>
        <v>0.005417768097762076</v>
      </c>
      <c r="M34" s="49">
        <f t="shared" si="22"/>
        <v>0.0008089700510756385</v>
      </c>
      <c r="N34" s="49">
        <f t="shared" si="23"/>
        <v>0.08877884683366519</v>
      </c>
      <c r="O34" s="49">
        <f t="shared" si="7"/>
        <v>6.275614047397953</v>
      </c>
      <c r="P34" s="205">
        <f t="shared" si="8"/>
        <v>4.505590279746455</v>
      </c>
      <c r="Q34" s="49">
        <f t="shared" si="9"/>
        <v>0.3</v>
      </c>
      <c r="R34" s="197">
        <f t="shared" si="10"/>
        <v>0.575188046204417</v>
      </c>
      <c r="S34" s="53">
        <f t="shared" si="11"/>
        <v>14.350021746394567</v>
      </c>
      <c r="T34" s="49">
        <f t="shared" si="12"/>
        <v>1.8477691314469986</v>
      </c>
      <c r="U34" s="49">
        <f t="shared" si="13"/>
        <v>14.002252614947569</v>
      </c>
      <c r="V34" s="54">
        <f t="shared" si="14"/>
        <v>-8.350021746394567</v>
      </c>
      <c r="W34" s="97">
        <f t="shared" si="15"/>
        <v>-7.928547457397869</v>
      </c>
      <c r="X34" s="25" t="e">
        <f t="shared" si="28"/>
        <v>#NUM!</v>
      </c>
      <c r="Y34" s="23">
        <f t="shared" si="16"/>
        <v>6.483617795517881</v>
      </c>
      <c r="Z34" s="23">
        <f t="shared" si="17"/>
        <v>1.978027515771426</v>
      </c>
      <c r="AA34" s="205">
        <f>ERF(AH34)+ERF(AI34)-1</f>
        <v>0.18482291038123022</v>
      </c>
      <c r="AB34" s="52">
        <f t="shared" si="18"/>
        <v>6</v>
      </c>
      <c r="AC34" s="223">
        <f t="shared" si="24"/>
        <v>0.069</v>
      </c>
      <c r="AD34" s="224">
        <f t="shared" si="29"/>
        <v>7.9</v>
      </c>
      <c r="AE34" s="201">
        <f t="shared" si="25"/>
        <v>0</v>
      </c>
      <c r="AF34" s="205">
        <f t="shared" si="19"/>
        <v>0.6020883820706485</v>
      </c>
      <c r="AG34" s="225">
        <f>IF(ABS(AF34)&lt;10,SIGN(AF34)*ERF(ABS(AF34)),SIGN(AF34))</f>
        <v>0.6054980940602992</v>
      </c>
      <c r="AH34" s="193">
        <f t="shared" si="20"/>
        <v>0.769340962249307</v>
      </c>
      <c r="AI34" s="193">
        <f t="shared" si="21"/>
        <v>0.43483580189198995</v>
      </c>
    </row>
    <row r="35" spans="1:35" s="78" customFormat="1" ht="15" customHeight="1">
      <c r="A35" s="263">
        <f t="shared" si="26"/>
        <v>0.09900000000000005</v>
      </c>
      <c r="B35" s="272">
        <f>A35*$B$3</f>
        <v>-11.658332361516038</v>
      </c>
      <c r="C35" s="129">
        <f>A35*$Z$4</f>
        <v>0.0026680500000000012</v>
      </c>
      <c r="D35" s="144">
        <f t="shared" si="32"/>
        <v>45828.65573965493</v>
      </c>
      <c r="E35" s="144">
        <f t="shared" si="0"/>
        <v>4040.4040404040384</v>
      </c>
      <c r="F35" s="106">
        <f t="shared" si="1"/>
        <v>128.48971124446138</v>
      </c>
      <c r="G35" s="106">
        <f t="shared" si="2"/>
        <v>134.53595660033204</v>
      </c>
      <c r="H35" s="75">
        <f t="shared" si="3"/>
        <v>7.250085018463563</v>
      </c>
      <c r="I35" s="74">
        <f t="shared" si="4"/>
        <v>0.3586369168047174</v>
      </c>
      <c r="J35" s="74">
        <f t="shared" si="27"/>
        <v>-0.14681507682735584</v>
      </c>
      <c r="K35" s="74">
        <f t="shared" si="5"/>
        <v>0.007539181361482814</v>
      </c>
      <c r="L35" s="74">
        <f t="shared" si="6"/>
        <v>0.006120539561120703</v>
      </c>
      <c r="M35" s="74">
        <f t="shared" si="22"/>
        <v>0.0007897704975429234</v>
      </c>
      <c r="N35" s="74">
        <f t="shared" si="23"/>
        <v>0.08662922860014634</v>
      </c>
      <c r="O35" s="74" t="e">
        <f t="shared" si="7"/>
        <v>#NUM!</v>
      </c>
      <c r="P35" s="155">
        <f t="shared" si="8"/>
        <v>4.505590279746455</v>
      </c>
      <c r="Q35" s="74">
        <f t="shared" si="9"/>
        <v>0.3</v>
      </c>
      <c r="R35" s="195">
        <f t="shared" si="10"/>
        <v>0.6125761919922921</v>
      </c>
      <c r="S35" s="96" t="e">
        <f t="shared" si="11"/>
        <v>#NUM!</v>
      </c>
      <c r="T35" s="74">
        <f t="shared" si="12"/>
        <v>1.8586369168047174</v>
      </c>
      <c r="U35" s="74" t="e">
        <f t="shared" si="13"/>
        <v>#NUM!</v>
      </c>
      <c r="V35" s="100" t="e">
        <f t="shared" si="14"/>
        <v>#NUM!</v>
      </c>
      <c r="W35" s="101">
        <f t="shared" si="15"/>
        <v>-7.976803388543463</v>
      </c>
      <c r="X35" s="77"/>
      <c r="Y35" s="74">
        <f t="shared" si="16"/>
        <v>6.483617795517881</v>
      </c>
      <c r="Z35" s="74">
        <f t="shared" si="17"/>
        <v>1.978027515771426</v>
      </c>
      <c r="AA35" s="155">
        <f>ERF(AH35)+ERF(AI35)-1</f>
        <v>0.16358138425735724</v>
      </c>
      <c r="AB35" s="76">
        <f t="shared" si="18"/>
        <v>6</v>
      </c>
      <c r="AC35" s="186">
        <f t="shared" si="24"/>
        <v>0.069</v>
      </c>
      <c r="AD35" s="187">
        <f>ROUNDUP(E10,0)-0.1</f>
        <v>7.9</v>
      </c>
      <c r="AE35" s="200">
        <f t="shared" si="25"/>
        <v>0</v>
      </c>
      <c r="AF35" s="155">
        <f t="shared" si="19"/>
        <v>0.5877988195489942</v>
      </c>
      <c r="AG35" s="179">
        <f>IF(ABS(AF35)&lt;10,SIGN(AF35)*ERF(ABS(AF35)),SIGN(AF35))</f>
        <v>0.5941806107556467</v>
      </c>
      <c r="AH35" s="190">
        <f t="shared" si="20"/>
        <v>0.7510819389764727</v>
      </c>
      <c r="AI35" s="190">
        <f t="shared" si="21"/>
        <v>0.4245157001215157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5"/>
      <c r="S36" s="13"/>
      <c r="U36" s="13"/>
      <c r="V36" s="13"/>
      <c r="W36" s="14"/>
      <c r="AA36" s="5"/>
      <c r="AB36" s="6"/>
      <c r="AE36" s="201">
        <f>SUM(AE15:AE35)</f>
        <v>0.8589849639631275</v>
      </c>
    </row>
    <row r="37" spans="1:27" s="26" customFormat="1" ht="15" customHeight="1">
      <c r="A37" s="79" t="s">
        <v>60</v>
      </c>
      <c r="B37" s="22"/>
      <c r="C37" s="22"/>
      <c r="D37" s="21"/>
      <c r="E37" s="22"/>
      <c r="F37" s="22"/>
      <c r="G37" s="28"/>
      <c r="W37" s="31"/>
      <c r="X37" s="31"/>
      <c r="AA37" s="158"/>
    </row>
    <row r="38" spans="1:28" s="26" customFormat="1" ht="15" customHeight="1">
      <c r="A38" s="29" t="s">
        <v>108</v>
      </c>
      <c r="B38" s="22"/>
      <c r="C38" s="22"/>
      <c r="D38" s="21"/>
      <c r="E38" s="22"/>
      <c r="F38" s="22"/>
      <c r="G38" s="28"/>
      <c r="K38" s="23"/>
      <c r="L38" s="22"/>
      <c r="M38" s="23"/>
      <c r="N38" s="23"/>
      <c r="O38" s="23"/>
      <c r="P38" s="23"/>
      <c r="Q38" s="23"/>
      <c r="R38" s="59"/>
      <c r="S38" s="23"/>
      <c r="T38" s="30"/>
      <c r="U38" s="23"/>
      <c r="W38" s="31"/>
      <c r="X38" s="31"/>
      <c r="AA38" s="158"/>
      <c r="AB38" s="24"/>
    </row>
    <row r="39" spans="1:28" s="26" customFormat="1" ht="15" customHeight="1">
      <c r="A39" s="23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22"/>
      <c r="M39" s="23"/>
      <c r="N39" s="23"/>
      <c r="O39" s="23"/>
      <c r="P39" s="23"/>
      <c r="Q39" s="23"/>
      <c r="R39" s="59"/>
      <c r="S39" s="23"/>
      <c r="T39" s="30"/>
      <c r="U39" s="23"/>
      <c r="W39" s="31"/>
      <c r="X39" s="31"/>
      <c r="AA39" s="158"/>
      <c r="AB39" s="24"/>
    </row>
    <row r="40" spans="1:28" s="26" customFormat="1" ht="15" customHeight="1">
      <c r="A40" s="29"/>
      <c r="B40" s="29"/>
      <c r="C40" s="22"/>
      <c r="D40" s="21"/>
      <c r="E40" s="22"/>
      <c r="F40" s="22"/>
      <c r="G40" s="28"/>
      <c r="H40" s="23"/>
      <c r="I40" s="23"/>
      <c r="J40" s="23"/>
      <c r="K40" s="23"/>
      <c r="L40" s="22"/>
      <c r="M40" s="23"/>
      <c r="N40" s="23"/>
      <c r="O40" s="23"/>
      <c r="P40" s="23"/>
      <c r="Q40" s="23"/>
      <c r="R40" s="59"/>
      <c r="S40" s="23"/>
      <c r="T40" s="30"/>
      <c r="U40" s="23"/>
      <c r="W40" s="31"/>
      <c r="X40" s="31"/>
      <c r="AA40" s="158"/>
      <c r="AB40" s="24"/>
    </row>
    <row r="41" spans="1:28" s="26" customFormat="1" ht="15" customHeight="1">
      <c r="A41" s="29"/>
      <c r="B41" s="29"/>
      <c r="C41" s="22"/>
      <c r="D41" s="21"/>
      <c r="E41" s="22"/>
      <c r="F41" s="22"/>
      <c r="G41" s="28"/>
      <c r="H41" s="23"/>
      <c r="I41" s="23"/>
      <c r="J41" s="23"/>
      <c r="K41" s="23"/>
      <c r="L41" s="22"/>
      <c r="M41" s="23"/>
      <c r="N41" s="23"/>
      <c r="O41" s="23"/>
      <c r="P41" s="23"/>
      <c r="Q41" s="23"/>
      <c r="R41" s="59"/>
      <c r="S41" s="23"/>
      <c r="T41" s="30"/>
      <c r="U41" s="23"/>
      <c r="W41" s="31"/>
      <c r="X41" s="31"/>
      <c r="AA41" s="158"/>
      <c r="AB41" s="24"/>
    </row>
    <row r="42" spans="1:28" s="26" customFormat="1" ht="15" customHeight="1">
      <c r="A42" s="29"/>
      <c r="B42" s="29"/>
      <c r="C42" s="22"/>
      <c r="D42" s="21"/>
      <c r="E42" s="22"/>
      <c r="F42" s="22"/>
      <c r="G42" s="28"/>
      <c r="H42" s="23"/>
      <c r="I42" s="23"/>
      <c r="J42" s="23"/>
      <c r="K42" s="23"/>
      <c r="L42" s="22"/>
      <c r="M42" s="23"/>
      <c r="N42" s="23"/>
      <c r="O42" s="23"/>
      <c r="P42" s="23"/>
      <c r="Q42" s="23"/>
      <c r="R42" s="59"/>
      <c r="S42" s="23"/>
      <c r="T42" s="30"/>
      <c r="U42" s="23"/>
      <c r="W42" s="31"/>
      <c r="X42" s="31"/>
      <c r="AA42" s="158"/>
      <c r="AB42" s="24"/>
    </row>
    <row r="43" spans="1:28" s="26" customFormat="1" ht="15" customHeight="1">
      <c r="A43" s="28"/>
      <c r="D43" s="21"/>
      <c r="E43" s="22"/>
      <c r="F43" s="22"/>
      <c r="G43" s="28"/>
      <c r="H43" s="23"/>
      <c r="I43" s="23"/>
      <c r="J43" s="23"/>
      <c r="K43" s="23"/>
      <c r="L43" s="22"/>
      <c r="M43" s="23"/>
      <c r="N43" s="23"/>
      <c r="O43" s="23"/>
      <c r="P43" s="23"/>
      <c r="Q43" s="23"/>
      <c r="R43" s="59"/>
      <c r="S43" s="23"/>
      <c r="T43" s="30"/>
      <c r="U43" s="23"/>
      <c r="W43" s="31"/>
      <c r="X43" s="31"/>
      <c r="AA43" s="158"/>
      <c r="AB43" s="24"/>
    </row>
    <row r="44" spans="1:28" s="26" customFormat="1" ht="15" customHeight="1">
      <c r="A44" s="28"/>
      <c r="B44" s="22"/>
      <c r="D44" s="21"/>
      <c r="E44" s="22"/>
      <c r="F44" s="22"/>
      <c r="G44" s="28"/>
      <c r="H44" s="23"/>
      <c r="I44" s="23"/>
      <c r="J44" s="23"/>
      <c r="K44" s="23"/>
      <c r="L44" s="22"/>
      <c r="M44" s="23"/>
      <c r="N44" s="23"/>
      <c r="O44" s="23"/>
      <c r="P44" s="23"/>
      <c r="Q44" s="23"/>
      <c r="R44" s="59"/>
      <c r="S44" s="23"/>
      <c r="T44" s="30"/>
      <c r="U44" s="23"/>
      <c r="W44" s="31"/>
      <c r="X44" s="31"/>
      <c r="AA44" s="158"/>
      <c r="AB44" s="24"/>
    </row>
    <row r="45" spans="1:28" s="26" customFormat="1" ht="15" customHeight="1">
      <c r="A45" s="28"/>
      <c r="B45" s="22"/>
      <c r="D45" s="21"/>
      <c r="E45" s="22"/>
      <c r="F45" s="22"/>
      <c r="G45" s="28"/>
      <c r="H45" s="23"/>
      <c r="I45" s="23"/>
      <c r="J45" s="23"/>
      <c r="K45" s="23"/>
      <c r="L45" s="22"/>
      <c r="M45" s="23"/>
      <c r="N45" s="23"/>
      <c r="O45" s="23"/>
      <c r="P45" s="23"/>
      <c r="Q45" s="23"/>
      <c r="R45" s="59"/>
      <c r="S45" s="23"/>
      <c r="T45" s="30"/>
      <c r="U45" s="23"/>
      <c r="W45" s="31"/>
      <c r="X45" s="31"/>
      <c r="AA45" s="158"/>
      <c r="AB45" s="24"/>
    </row>
    <row r="46" spans="1:28" ht="15" customHeight="1">
      <c r="A46" s="28"/>
      <c r="B46" s="22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5"/>
      <c r="S46" s="4"/>
      <c r="U46" s="4"/>
      <c r="AB46" s="6"/>
    </row>
    <row r="47" spans="1:28" ht="15" customHeight="1">
      <c r="A47" s="2"/>
      <c r="B47" s="22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5"/>
      <c r="S47" s="4"/>
      <c r="U47" s="4"/>
      <c r="AB47" s="6"/>
    </row>
    <row r="48" spans="1:28" ht="15" customHeight="1">
      <c r="A48" s="2"/>
      <c r="B48" s="22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0"/>
      <c r="S48" s="4"/>
      <c r="U48" s="4"/>
      <c r="AB48" s="6"/>
    </row>
    <row r="49" spans="1:28" ht="15" customHeight="1">
      <c r="A49" s="24"/>
      <c r="B49" s="22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5"/>
      <c r="S49" s="4"/>
      <c r="U49" s="4"/>
      <c r="AB49" s="6"/>
    </row>
    <row r="50" spans="1:16" ht="15" customHeight="1">
      <c r="A50" s="15"/>
      <c r="B50" s="14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4"/>
      <c r="B51" s="14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4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V2:W2"/>
  </mergeCells>
  <printOptions horizontalCentered="1"/>
  <pageMargins left="0.5" right="0.5" top="0.5" bottom="0.6" header="0.3" footer="0.4"/>
  <pageSetup fitToHeight="1" fitToWidth="1" horizontalDpi="600" verticalDpi="600" orientation="landscape" scale="69" r:id="rId2"/>
  <headerFooter alignWithMargins="0">
    <oddHeader xml:space="preserve">&amp;CSpreadsheet by Agilent Technologies&amp;R </oddHeader>
    <oddFooter>&amp;L&amp;F tab &amp;A page &amp;P of &amp;N&amp;RPrinted &amp;T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showGridLines="0" showOutlineSymbols="0" zoomScale="70" zoomScaleNormal="70" workbookViewId="0" topLeftCell="A1">
      <selection activeCell="T1" sqref="T1"/>
    </sheetView>
  </sheetViews>
  <sheetFormatPr defaultColWidth="9.140625" defaultRowHeight="12.75"/>
  <cols>
    <col min="1" max="1" width="13.28125" style="5" customWidth="1"/>
    <col min="2" max="2" width="7.7109375" style="5" customWidth="1"/>
    <col min="3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6" customWidth="1"/>
    <col min="19" max="19" width="6.57421875" style="5" customWidth="1"/>
    <col min="20" max="20" width="7.28125" style="7" customWidth="1"/>
    <col min="21" max="21" width="7.421875" style="5" customWidth="1"/>
    <col min="22" max="22" width="7.7109375" style="5" customWidth="1"/>
    <col min="23" max="23" width="11.140625" style="10" customWidth="1"/>
    <col min="24" max="24" width="8.8515625" style="10" customWidth="1"/>
    <col min="25" max="25" width="8.140625" style="5" customWidth="1"/>
    <col min="26" max="26" width="7.57421875" style="5" customWidth="1"/>
    <col min="27" max="27" width="10.00390625" style="157" customWidth="1"/>
    <col min="28" max="28" width="6.00390625" style="5" customWidth="1"/>
    <col min="29" max="29" width="7.140625" style="5" customWidth="1"/>
    <col min="30" max="30" width="7.00390625" style="5" customWidth="1"/>
    <col min="31" max="32" width="10.00390625" style="5" customWidth="1"/>
    <col min="33" max="16384" width="11.140625" style="5" customWidth="1"/>
  </cols>
  <sheetData>
    <row r="1" spans="1:32" s="126" customFormat="1" ht="15">
      <c r="A1" s="123" t="s">
        <v>109</v>
      </c>
      <c r="B1" s="110"/>
      <c r="C1" s="110"/>
      <c r="D1" s="110"/>
      <c r="E1" s="114"/>
      <c r="F1" s="114"/>
      <c r="G1" s="114"/>
      <c r="H1" s="114"/>
      <c r="I1" s="114"/>
      <c r="J1" s="114"/>
      <c r="K1" s="114"/>
      <c r="L1" s="124" t="s">
        <v>66</v>
      </c>
      <c r="M1" s="110" t="s">
        <v>50</v>
      </c>
      <c r="N1" s="114"/>
      <c r="O1" s="131" t="s">
        <v>0</v>
      </c>
      <c r="P1" s="277" t="s">
        <v>1</v>
      </c>
      <c r="Q1" s="276" t="str">
        <f>Notes!G1</f>
        <v>1.0.0</v>
      </c>
      <c r="R1" s="217"/>
      <c r="S1" s="222" t="s">
        <v>130</v>
      </c>
      <c r="T1" s="221" t="str">
        <f>Notes!A1</f>
        <v>10GEPBud2_4_1.xls</v>
      </c>
      <c r="U1" s="217"/>
      <c r="V1" s="214"/>
      <c r="W1" s="241">
        <f>Notes!E1</f>
        <v>36879</v>
      </c>
      <c r="AB1" s="217"/>
      <c r="AC1" s="51"/>
      <c r="AD1" s="51"/>
      <c r="AE1" s="51"/>
      <c r="AF1" s="51"/>
    </row>
    <row r="2" spans="1:32" ht="15.75">
      <c r="A2" s="62" t="s">
        <v>2</v>
      </c>
      <c r="B2" s="118" t="s">
        <v>3</v>
      </c>
      <c r="C2" s="73"/>
      <c r="D2" s="65">
        <f>IF(O1="SMF","PolMD DGDmax","")</f>
      </c>
      <c r="E2" s="238"/>
      <c r="F2" s="73">
        <f>IF(O1="SMF","ps at target "&amp;J2&amp;K2,"")</f>
      </c>
      <c r="G2" s="62"/>
      <c r="H2" s="61"/>
      <c r="I2" s="65" t="s">
        <v>92</v>
      </c>
      <c r="J2" s="130">
        <v>0.3</v>
      </c>
      <c r="K2" s="61" t="s">
        <v>93</v>
      </c>
      <c r="L2" s="61"/>
      <c r="M2" s="73"/>
      <c r="N2" s="61"/>
      <c r="O2" s="62" t="s">
        <v>98</v>
      </c>
      <c r="P2" s="139">
        <f>1000000/$P$6</f>
        <v>295</v>
      </c>
      <c r="Q2" s="61" t="s">
        <v>87</v>
      </c>
      <c r="R2" s="274"/>
      <c r="S2" s="275" t="s">
        <v>232</v>
      </c>
      <c r="T2" s="278" t="str">
        <f>Notes!F16</f>
        <v>2.4.1</v>
      </c>
      <c r="U2" s="279" t="s">
        <v>229</v>
      </c>
      <c r="V2" s="283">
        <f>Notes!D16</f>
        <v>36881</v>
      </c>
      <c r="W2" s="284"/>
      <c r="X2" s="6"/>
      <c r="Y2" s="243" t="s">
        <v>154</v>
      </c>
      <c r="Z2" s="244">
        <f>10^(B6/10)</f>
        <v>1.5339746133336245</v>
      </c>
      <c r="AA2" s="245" t="s">
        <v>153</v>
      </c>
      <c r="AB2" s="66"/>
      <c r="AC2" s="1"/>
      <c r="AD2" s="1"/>
      <c r="AE2" s="1"/>
      <c r="AF2" s="1"/>
    </row>
    <row r="3" spans="1:32" ht="15" customHeight="1">
      <c r="A3" s="62" t="s">
        <v>214</v>
      </c>
      <c r="B3" s="67">
        <f>0.25*$E$4*$B$4*(1-($E$5/$B$4)^4)</f>
        <v>-9.8766895800401</v>
      </c>
      <c r="C3" s="66" t="s">
        <v>213</v>
      </c>
      <c r="D3" s="65" t="s">
        <v>144</v>
      </c>
      <c r="E3" s="145">
        <v>500</v>
      </c>
      <c r="F3" s="61" t="s">
        <v>143</v>
      </c>
      <c r="G3" s="61"/>
      <c r="H3" s="73"/>
      <c r="I3" s="62" t="s">
        <v>95</v>
      </c>
      <c r="J3" s="117">
        <v>0.2</v>
      </c>
      <c r="K3" s="73" t="s">
        <v>93</v>
      </c>
      <c r="L3" s="61"/>
      <c r="M3" s="73"/>
      <c r="N3" s="61"/>
      <c r="O3" s="62" t="s">
        <v>4</v>
      </c>
      <c r="P3" s="49">
        <f>IF($B$4&gt;1000,$E$6/1.5,$E$6/3.5)</f>
        <v>1</v>
      </c>
      <c r="Q3" s="61"/>
      <c r="R3" s="80"/>
      <c r="S3" s="243" t="s">
        <v>207</v>
      </c>
      <c r="T3" s="244">
        <f>10*LOG10(Z3)</f>
        <v>6.762816496538772</v>
      </c>
      <c r="U3" s="246" t="s">
        <v>155</v>
      </c>
      <c r="V3" s="73"/>
      <c r="W3" s="66"/>
      <c r="X3" s="6"/>
      <c r="Y3" s="243" t="s">
        <v>152</v>
      </c>
      <c r="Z3" s="244">
        <f>(Z2+1)/(Z2-1)</f>
        <v>4.745496415108429</v>
      </c>
      <c r="AA3" s="245" t="s">
        <v>153</v>
      </c>
      <c r="AB3" s="82"/>
      <c r="AD3" s="1"/>
      <c r="AE3" s="251"/>
      <c r="AF3" s="1"/>
    </row>
    <row r="4" spans="1:32" ht="15" customHeight="1">
      <c r="A4" s="62" t="s">
        <v>48</v>
      </c>
      <c r="B4" s="84">
        <v>1270</v>
      </c>
      <c r="C4" s="73"/>
      <c r="D4" s="65" t="s">
        <v>7</v>
      </c>
      <c r="E4" s="81">
        <v>0.093</v>
      </c>
      <c r="F4" s="61"/>
      <c r="G4" s="61"/>
      <c r="H4" s="73"/>
      <c r="I4" s="62" t="s">
        <v>96</v>
      </c>
      <c r="J4" s="149">
        <f>10^(INT(LOG10(J3/9)))</f>
        <v>0.01</v>
      </c>
      <c r="K4" s="61" t="s">
        <v>93</v>
      </c>
      <c r="L4" s="61"/>
      <c r="M4" s="61"/>
      <c r="N4" s="61"/>
      <c r="O4" s="62" t="s">
        <v>5</v>
      </c>
      <c r="P4" s="139">
        <f>B7*1.518</f>
        <v>151.8</v>
      </c>
      <c r="Q4" s="73" t="s">
        <v>87</v>
      </c>
      <c r="R4" s="85"/>
      <c r="S4" s="2" t="s">
        <v>208</v>
      </c>
      <c r="T4" s="4">
        <f>10*LOG10((1+10^(-($J$10/10)))/(1-10^(-($J$10/10))))</f>
        <v>1.7566264497877127</v>
      </c>
      <c r="U4" s="246" t="s">
        <v>155</v>
      </c>
      <c r="V4" s="73"/>
      <c r="W4" s="66"/>
      <c r="X4" s="6"/>
      <c r="Y4" s="248" t="s">
        <v>31</v>
      </c>
      <c r="Z4" s="5">
        <f>0.7*$E$4*$B$5</f>
        <v>0.040361999999999995</v>
      </c>
      <c r="AA4" s="66" t="s">
        <v>213</v>
      </c>
      <c r="AB4" s="83"/>
      <c r="AD4" s="1"/>
      <c r="AE4" s="251"/>
      <c r="AF4" s="1"/>
    </row>
    <row r="5" spans="1:31" ht="15" customHeight="1">
      <c r="A5" s="62" t="s">
        <v>6</v>
      </c>
      <c r="B5" s="86">
        <v>0.62</v>
      </c>
      <c r="C5" s="73"/>
      <c r="D5" s="65" t="s">
        <v>49</v>
      </c>
      <c r="E5" s="81">
        <v>1365</v>
      </c>
      <c r="F5" s="61"/>
      <c r="G5" s="61"/>
      <c r="H5" s="73"/>
      <c r="I5" s="62" t="s">
        <v>9</v>
      </c>
      <c r="J5" s="87">
        <v>480</v>
      </c>
      <c r="K5" s="61" t="s">
        <v>91</v>
      </c>
      <c r="L5" s="73"/>
      <c r="M5" s="67"/>
      <c r="N5" s="61"/>
      <c r="O5" s="62" t="s">
        <v>8</v>
      </c>
      <c r="P5" s="95">
        <v>0.7</v>
      </c>
      <c r="Q5" s="61"/>
      <c r="R5" s="85"/>
      <c r="S5" s="248" t="s">
        <v>163</v>
      </c>
      <c r="T5" s="249">
        <f>T3-T4</f>
        <v>5.006190046751059</v>
      </c>
      <c r="U5" s="246" t="s">
        <v>155</v>
      </c>
      <c r="V5" s="73"/>
      <c r="W5" s="66"/>
      <c r="X5" s="6"/>
      <c r="AB5" s="83"/>
      <c r="AC5" s="1"/>
      <c r="AE5" s="252"/>
    </row>
    <row r="6" spans="1:32" ht="15" customHeight="1">
      <c r="A6" s="62" t="s">
        <v>223</v>
      </c>
      <c r="B6" s="70">
        <f>10*LOG10((2*AE7+K9)/(2*AE7-K9))</f>
        <v>1.8581817227244557</v>
      </c>
      <c r="C6" s="73" t="s">
        <v>54</v>
      </c>
      <c r="D6" s="65" t="s">
        <v>83</v>
      </c>
      <c r="E6" s="81">
        <v>1.5</v>
      </c>
      <c r="F6" s="61" t="str">
        <f>"dB/km at "&amp;IF(B4&lt;1000,850,1300)&amp;" nm"</f>
        <v>dB/km at 1300 nm</v>
      </c>
      <c r="G6" s="61"/>
      <c r="H6" s="73"/>
      <c r="I6" s="62" t="s">
        <v>12</v>
      </c>
      <c r="J6" s="86">
        <v>7.037</v>
      </c>
      <c r="K6" s="61"/>
      <c r="L6" s="61"/>
      <c r="M6" s="67"/>
      <c r="N6" s="61"/>
      <c r="O6" s="65" t="s">
        <v>10</v>
      </c>
      <c r="P6" s="88">
        <f>(P7)</f>
        <v>3389.830508474576</v>
      </c>
      <c r="Q6" s="66"/>
      <c r="R6" s="83"/>
      <c r="S6" s="62" t="s">
        <v>204</v>
      </c>
      <c r="T6" s="51">
        <f>$E$10-$E$11</f>
        <v>6</v>
      </c>
      <c r="U6" s="233" t="s">
        <v>54</v>
      </c>
      <c r="V6" s="73"/>
      <c r="W6" s="66"/>
      <c r="Y6" s="166" t="s">
        <v>114</v>
      </c>
      <c r="Z6" s="167">
        <f>$Z$8*$P$2/(SQRT(8)*$T$9)</f>
        <v>2.0312797517227614</v>
      </c>
      <c r="AA6" s="168" t="s">
        <v>67</v>
      </c>
      <c r="AB6" s="61"/>
      <c r="AC6" s="1"/>
      <c r="AD6" s="1"/>
      <c r="AE6" s="251"/>
      <c r="AF6" s="1"/>
    </row>
    <row r="7" spans="1:32" ht="15" customHeight="1">
      <c r="A7" s="62" t="s">
        <v>11</v>
      </c>
      <c r="B7" s="81">
        <v>100</v>
      </c>
      <c r="C7" s="73" t="s">
        <v>87</v>
      </c>
      <c r="D7" s="65" t="s">
        <v>145</v>
      </c>
      <c r="E7" s="239">
        <f>IF(O1="SMF",1000000*J2/(3*E2),E3)</f>
        <v>500</v>
      </c>
      <c r="F7" s="61" t="s">
        <v>143</v>
      </c>
      <c r="G7" s="67"/>
      <c r="H7" s="67"/>
      <c r="I7" s="65" t="s">
        <v>88</v>
      </c>
      <c r="J7" s="147">
        <f>2.5*10^5/$E$8</f>
        <v>80</v>
      </c>
      <c r="K7" s="67" t="s">
        <v>87</v>
      </c>
      <c r="L7" s="61"/>
      <c r="M7" s="67"/>
      <c r="N7" s="61"/>
      <c r="O7" s="65" t="s">
        <v>13</v>
      </c>
      <c r="P7" s="89">
        <f>1/((1/$E$8)-$J$8*10^-6)</f>
        <v>3389.830508474576</v>
      </c>
      <c r="Q7" s="66"/>
      <c r="R7" s="83"/>
      <c r="S7" s="91" t="s">
        <v>28</v>
      </c>
      <c r="T7" s="115">
        <f>AE36</f>
        <v>0.9100191966223123</v>
      </c>
      <c r="U7" s="92" t="str">
        <f>"dB at target "&amp;J2&amp;" km"</f>
        <v>dB at target 0.3 km</v>
      </c>
      <c r="V7" s="73"/>
      <c r="W7" s="119"/>
      <c r="Y7" s="166" t="s">
        <v>115</v>
      </c>
      <c r="Z7" s="169">
        <f>IF(ABS($Z$6)&lt;10,SIGN($Z$6)*ERF(ABS($Z$6)),SIGN($Z$6))</f>
        <v>0.9959297241782481</v>
      </c>
      <c r="AA7" s="168" t="s">
        <v>67</v>
      </c>
      <c r="AB7" s="61"/>
      <c r="AC7" s="1"/>
      <c r="AD7" s="2" t="s">
        <v>166</v>
      </c>
      <c r="AE7" s="253">
        <f>1000*10^(J9/10)</f>
        <v>562.341325190349</v>
      </c>
      <c r="AF7" s="1" t="s">
        <v>165</v>
      </c>
    </row>
    <row r="8" spans="1:32" ht="15" customHeight="1">
      <c r="A8" s="248" t="s">
        <v>224</v>
      </c>
      <c r="B8" s="81">
        <v>-120</v>
      </c>
      <c r="C8" s="102" t="s">
        <v>74</v>
      </c>
      <c r="D8" s="62" t="s">
        <v>84</v>
      </c>
      <c r="E8" s="148">
        <v>3125</v>
      </c>
      <c r="F8" s="73" t="s">
        <v>89</v>
      </c>
      <c r="G8" s="67"/>
      <c r="H8" s="61"/>
      <c r="I8" s="65" t="s">
        <v>15</v>
      </c>
      <c r="J8" s="81">
        <v>25</v>
      </c>
      <c r="K8" s="61"/>
      <c r="L8" s="61"/>
      <c r="M8" s="61"/>
      <c r="N8" s="61"/>
      <c r="O8" s="62" t="s">
        <v>14</v>
      </c>
      <c r="P8" s="63">
        <f>(10^-6)*$J$7*$P$7</f>
        <v>0.27118644067796605</v>
      </c>
      <c r="Q8" s="66"/>
      <c r="R8" s="83"/>
      <c r="S8" s="65" t="s">
        <v>100</v>
      </c>
      <c r="T8" s="51">
        <f>$P$3*((1/(0.00094*$B$4)^4)+1.05)</f>
        <v>1.542349727375382</v>
      </c>
      <c r="U8" s="61" t="str">
        <f>"dB/km at "&amp;B4&amp;" nm"</f>
        <v>dB/km at 1270 nm</v>
      </c>
      <c r="V8" s="73"/>
      <c r="W8" s="66"/>
      <c r="Y8" s="166" t="s">
        <v>116</v>
      </c>
      <c r="Z8" s="170">
        <v>2.563</v>
      </c>
      <c r="AA8" s="168" t="s">
        <v>67</v>
      </c>
      <c r="AB8" s="61"/>
      <c r="AC8" s="1"/>
      <c r="AD8" s="1"/>
      <c r="AE8" s="1"/>
      <c r="AF8" s="1"/>
    </row>
    <row r="9" spans="1:32" ht="15" customHeight="1">
      <c r="A9" s="62" t="s">
        <v>225</v>
      </c>
      <c r="B9" s="247">
        <f>B8-2*T3</f>
        <v>-133.52563299307755</v>
      </c>
      <c r="C9" s="102" t="s">
        <v>74</v>
      </c>
      <c r="D9" s="65" t="s">
        <v>85</v>
      </c>
      <c r="E9" s="145">
        <v>2500</v>
      </c>
      <c r="F9" s="73" t="s">
        <v>90</v>
      </c>
      <c r="G9" s="73"/>
      <c r="H9" s="61"/>
      <c r="I9" s="258" t="s">
        <v>233</v>
      </c>
      <c r="J9" s="122">
        <v>-2.5</v>
      </c>
      <c r="K9" s="250">
        <v>237</v>
      </c>
      <c r="L9" s="92" t="s">
        <v>164</v>
      </c>
      <c r="M9" s="67"/>
      <c r="N9" s="61"/>
      <c r="O9" s="62" t="s">
        <v>16</v>
      </c>
      <c r="P9" s="90">
        <f>(P8)</f>
        <v>0.27118644067796605</v>
      </c>
      <c r="Q9" s="66"/>
      <c r="R9" s="83"/>
      <c r="S9" s="91" t="s">
        <v>64</v>
      </c>
      <c r="T9" s="138">
        <f>T10*1000/$E$9</f>
        <v>131.6</v>
      </c>
      <c r="U9" s="92" t="s">
        <v>87</v>
      </c>
      <c r="V9" s="32"/>
      <c r="W9" s="41"/>
      <c r="Y9" s="171" t="s">
        <v>86</v>
      </c>
      <c r="Z9" s="193">
        <f>ERF(MAX(MIN($Z$8*$P$2*($P$9+1)/(SQRT(8)*$T$9),10),-10))+ERF(MAX(MIN($Z$8*$P$2*(1-$P$9)/(SQRT(8)*$T$9),10),-10))-1</f>
        <v>0.9634470577655052</v>
      </c>
      <c r="AA9" s="172" t="s">
        <v>67</v>
      </c>
      <c r="AB9" s="61"/>
      <c r="AC9" s="1"/>
      <c r="AD9" s="1"/>
      <c r="AE9" s="1"/>
      <c r="AF9" s="1"/>
    </row>
    <row r="10" spans="1:32" ht="15" customHeight="1">
      <c r="A10" s="273" t="s">
        <v>226</v>
      </c>
      <c r="B10" s="81">
        <v>0.8</v>
      </c>
      <c r="C10" s="73"/>
      <c r="D10" s="65" t="s">
        <v>58</v>
      </c>
      <c r="E10" s="81">
        <v>8</v>
      </c>
      <c r="F10" s="73"/>
      <c r="G10" s="62"/>
      <c r="H10" s="61"/>
      <c r="I10" s="62" t="s">
        <v>21</v>
      </c>
      <c r="J10" s="116">
        <v>7</v>
      </c>
      <c r="K10" s="61"/>
      <c r="L10" s="61"/>
      <c r="M10" s="67"/>
      <c r="N10" s="61"/>
      <c r="O10" s="62" t="s">
        <v>18</v>
      </c>
      <c r="P10" s="49">
        <f>S35-$T$6</f>
        <v>2.0321244423658946</v>
      </c>
      <c r="Q10" s="67" t="s">
        <v>19</v>
      </c>
      <c r="R10" s="83"/>
      <c r="S10" s="202" t="s">
        <v>141</v>
      </c>
      <c r="T10" s="234">
        <v>329</v>
      </c>
      <c r="U10" s="235" t="s">
        <v>91</v>
      </c>
      <c r="V10" s="73"/>
      <c r="W10" s="103" t="s">
        <v>20</v>
      </c>
      <c r="X10" s="66"/>
      <c r="Y10" s="12" t="s">
        <v>29</v>
      </c>
      <c r="Z10" s="12" t="s">
        <v>24</v>
      </c>
      <c r="AA10" s="150"/>
      <c r="AB10" s="61"/>
      <c r="AC10" s="1"/>
      <c r="AD10" s="1"/>
      <c r="AE10" s="1"/>
      <c r="AF10" s="1"/>
    </row>
    <row r="11" spans="1:32" ht="15" customHeight="1">
      <c r="A11" s="34" t="s">
        <v>17</v>
      </c>
      <c r="B11" s="240">
        <v>0.5</v>
      </c>
      <c r="C11" s="32"/>
      <c r="D11" s="45" t="s">
        <v>59</v>
      </c>
      <c r="E11" s="240">
        <v>2</v>
      </c>
      <c r="F11" s="32"/>
      <c r="G11" s="33"/>
      <c r="H11" s="33"/>
      <c r="I11" s="34" t="s">
        <v>65</v>
      </c>
      <c r="J11" s="35">
        <v>0</v>
      </c>
      <c r="K11" s="36" t="s">
        <v>57</v>
      </c>
      <c r="L11" s="37"/>
      <c r="M11" s="37"/>
      <c r="N11" s="33"/>
      <c r="O11" s="38" t="s">
        <v>53</v>
      </c>
      <c r="P11" s="39">
        <f>10*LOG10(1/SQRT(1-($J$6*J11)^2))</f>
        <v>0</v>
      </c>
      <c r="Q11" s="36" t="s">
        <v>54</v>
      </c>
      <c r="R11" s="57"/>
      <c r="S11" s="38" t="s">
        <v>52</v>
      </c>
      <c r="T11" s="40">
        <f>10*LOG10(1/SQRT(1-($J$6*$J$11/$Z$9)^2))</f>
        <v>0</v>
      </c>
      <c r="U11" s="236" t="s">
        <v>54</v>
      </c>
      <c r="V11" s="73"/>
      <c r="W11" s="93" t="s">
        <v>22</v>
      </c>
      <c r="X11" s="6" t="s">
        <v>23</v>
      </c>
      <c r="Y11" s="10" t="s">
        <v>77</v>
      </c>
      <c r="Z11" s="6" t="s">
        <v>30</v>
      </c>
      <c r="AA11" s="151" t="s">
        <v>68</v>
      </c>
      <c r="AB11" s="61"/>
      <c r="AC11" s="1"/>
      <c r="AD11" s="1"/>
      <c r="AE11" s="1"/>
      <c r="AF11" s="1"/>
    </row>
    <row r="12" spans="1:35" ht="15" customHeight="1">
      <c r="A12" s="242" t="s">
        <v>76</v>
      </c>
      <c r="B12" s="66" t="s">
        <v>215</v>
      </c>
      <c r="C12" s="66" t="s">
        <v>216</v>
      </c>
      <c r="D12" s="72" t="s">
        <v>70</v>
      </c>
      <c r="E12" s="72" t="s">
        <v>146</v>
      </c>
      <c r="F12" s="73" t="s">
        <v>71</v>
      </c>
      <c r="G12" s="73" t="s">
        <v>72</v>
      </c>
      <c r="H12" s="64" t="s">
        <v>32</v>
      </c>
      <c r="I12" s="65" t="s">
        <v>33</v>
      </c>
      <c r="J12" s="66" t="s">
        <v>34</v>
      </c>
      <c r="K12" s="67" t="s">
        <v>35</v>
      </c>
      <c r="L12" s="65" t="s">
        <v>36</v>
      </c>
      <c r="M12" s="65" t="s">
        <v>37</v>
      </c>
      <c r="N12" s="65" t="s">
        <v>38</v>
      </c>
      <c r="O12" s="68" t="s">
        <v>69</v>
      </c>
      <c r="P12" s="256" t="s">
        <v>175</v>
      </c>
      <c r="Q12" s="65" t="s">
        <v>39</v>
      </c>
      <c r="R12" s="69" t="s">
        <v>40</v>
      </c>
      <c r="S12" s="70" t="s">
        <v>42</v>
      </c>
      <c r="T12" s="68" t="s">
        <v>43</v>
      </c>
      <c r="U12" s="67" t="s">
        <v>44</v>
      </c>
      <c r="V12" s="71" t="s">
        <v>28</v>
      </c>
      <c r="W12" s="230" t="s">
        <v>27</v>
      </c>
      <c r="X12" s="6" t="s">
        <v>28</v>
      </c>
      <c r="Y12" s="5" t="s">
        <v>157</v>
      </c>
      <c r="Z12" s="5" t="s">
        <v>158</v>
      </c>
      <c r="AA12" s="151" t="s">
        <v>56</v>
      </c>
      <c r="AB12" s="66" t="s">
        <v>41</v>
      </c>
      <c r="AC12" s="156" t="s">
        <v>123</v>
      </c>
      <c r="AD12" s="1"/>
      <c r="AE12" s="146" t="s">
        <v>101</v>
      </c>
      <c r="AF12" s="173" t="s">
        <v>117</v>
      </c>
      <c r="AG12" s="180" t="s">
        <v>118</v>
      </c>
      <c r="AH12" s="157" t="s">
        <v>119</v>
      </c>
      <c r="AI12" s="157" t="s">
        <v>120</v>
      </c>
    </row>
    <row r="13" spans="1:35" s="33" customFormat="1" ht="15" customHeight="1">
      <c r="A13" s="120" t="s">
        <v>75</v>
      </c>
      <c r="B13" s="42" t="s">
        <v>217</v>
      </c>
      <c r="C13" s="42" t="s">
        <v>217</v>
      </c>
      <c r="D13" s="43" t="s">
        <v>73</v>
      </c>
      <c r="E13" s="43" t="s">
        <v>73</v>
      </c>
      <c r="F13" s="32" t="s">
        <v>97</v>
      </c>
      <c r="G13" s="32" t="s">
        <v>97</v>
      </c>
      <c r="H13" s="44" t="s">
        <v>25</v>
      </c>
      <c r="I13" s="45" t="s">
        <v>25</v>
      </c>
      <c r="J13" s="32"/>
      <c r="K13" s="46"/>
      <c r="L13" s="45" t="s">
        <v>25</v>
      </c>
      <c r="M13" s="45"/>
      <c r="N13" s="45" t="s">
        <v>25</v>
      </c>
      <c r="O13" s="45" t="s">
        <v>25</v>
      </c>
      <c r="P13" s="257" t="s">
        <v>25</v>
      </c>
      <c r="Q13" s="45" t="s">
        <v>25</v>
      </c>
      <c r="R13" s="58" t="s">
        <v>25</v>
      </c>
      <c r="S13" s="46" t="s">
        <v>25</v>
      </c>
      <c r="T13" s="47" t="s">
        <v>25</v>
      </c>
      <c r="U13" s="47" t="s">
        <v>26</v>
      </c>
      <c r="V13" s="48" t="s">
        <v>25</v>
      </c>
      <c r="W13" s="94" t="s">
        <v>45</v>
      </c>
      <c r="X13" s="42" t="s">
        <v>46</v>
      </c>
      <c r="Y13" s="42" t="s">
        <v>25</v>
      </c>
      <c r="Z13" s="42" t="s">
        <v>25</v>
      </c>
      <c r="AA13" s="152" t="s">
        <v>55</v>
      </c>
      <c r="AB13" s="42" t="s">
        <v>25</v>
      </c>
      <c r="AC13" s="132" t="s">
        <v>122</v>
      </c>
      <c r="AD13" s="133" t="s">
        <v>94</v>
      </c>
      <c r="AE13" s="133" t="s">
        <v>121</v>
      </c>
      <c r="AF13" s="174" t="s">
        <v>55</v>
      </c>
      <c r="AG13" s="181" t="s">
        <v>55</v>
      </c>
      <c r="AH13" s="181" t="s">
        <v>55</v>
      </c>
      <c r="AI13" s="181" t="s">
        <v>55</v>
      </c>
    </row>
    <row r="14" spans="1:35" s="114" customFormat="1" ht="15" customHeight="1">
      <c r="A14" s="121">
        <v>0.002</v>
      </c>
      <c r="B14" s="107">
        <f>A14*$B$3</f>
        <v>-0.0197533791600802</v>
      </c>
      <c r="C14" s="125">
        <f>A14*$Z$4</f>
        <v>8.0724E-05</v>
      </c>
      <c r="D14" s="108">
        <f>(0.187/$B$5)*10^6/(SQRT(B14^2+C14^2))</f>
        <v>15268799.444902018</v>
      </c>
      <c r="E14" s="108">
        <f>$E$7/A14</f>
        <v>250000</v>
      </c>
      <c r="F14" s="140">
        <f>SQRT((1000*$J$5/D14)^2+(1000*$J$5/E14)^2+$P$4^2)</f>
        <v>151.81214506179458</v>
      </c>
      <c r="G14" s="140">
        <f aca="true" t="shared" si="0" ref="G14:G35">SQRT(F14^2+$T$9^2)</f>
        <v>200.91164074852247</v>
      </c>
      <c r="H14" s="109">
        <f aca="true" t="shared" si="1" ref="H14:H35">-10*LOG10(2*AG14-1)</f>
        <v>0.5540434329458099</v>
      </c>
      <c r="I14" s="107">
        <f aca="true" t="shared" si="2" ref="I14:I35">A14*$P$3*((1/(0.00094*$B$4)^4)+1.05)</f>
        <v>0.0030846994547507637</v>
      </c>
      <c r="J14" s="110">
        <f>(10^-6)*3.14*$P$6*B14*$B$5</f>
        <v>-0.00013035891033506486</v>
      </c>
      <c r="K14" s="107">
        <f aca="true" t="shared" si="3" ref="K14:K35">($B$10/SQRT(2))*(1-EXP(-1*J14^2))</f>
        <v>9.612944335827611E-09</v>
      </c>
      <c r="L14" s="107">
        <f aca="true" t="shared" si="4" ref="L14:L35">10*LOG10(1/SQRT(1-($J$6*K14)^2))</f>
        <v>9.64327466553286E-15</v>
      </c>
      <c r="M14" s="107"/>
      <c r="N14" s="107"/>
      <c r="O14" s="107">
        <f aca="true" t="shared" si="5" ref="O14:O35">10*LOG10(1/SQRT(1-($J$6*$J$6*((($J$11/AA14)^2)+M14+(K14*K14)))))-$T$11-L14-N14</f>
        <v>0</v>
      </c>
      <c r="P14" s="175">
        <f aca="true" t="shared" si="6" ref="P14:P35">Y14-Z14</f>
        <v>5.006190046751059</v>
      </c>
      <c r="Q14" s="107">
        <f aca="true" t="shared" si="7" ref="Q14:Q35">$B$11</f>
        <v>0.5</v>
      </c>
      <c r="R14" s="203">
        <f aca="true" t="shared" si="8" ref="R14:R35">-10*LOG10(AA14)-H14</f>
        <v>0.34517561072846636</v>
      </c>
      <c r="S14" s="255">
        <f>H14+I14+L14+N14+O14+Q14+R14</f>
        <v>1.4023037431290368</v>
      </c>
      <c r="T14" s="107">
        <f aca="true" t="shared" si="9" ref="T14:T35">$E$11+I14</f>
        <v>2.003084699454751</v>
      </c>
      <c r="U14" s="107">
        <f aca="true" t="shared" si="10" ref="U14:U35">S14-I14</f>
        <v>1.399219043674286</v>
      </c>
      <c r="V14" s="112">
        <f aca="true" t="shared" si="11" ref="V14:V35">$T$6-S14</f>
        <v>4.597696256870963</v>
      </c>
      <c r="W14" s="113">
        <f aca="true" t="shared" si="12" ref="W14:W35">$J$9-T14-R14-$T$5</f>
        <v>-9.854450356934276</v>
      </c>
      <c r="X14" s="111"/>
      <c r="Y14" s="107">
        <f aca="true" t="shared" si="13" ref="Y14:Y35">10*LOG10((1+10^(-($B$6/10)))/(1-10^(-($B$6/10))))</f>
        <v>6.762816496538772</v>
      </c>
      <c r="Z14" s="107">
        <f aca="true" t="shared" si="14" ref="Z14:Z35">10*LOG10((1+10^(-($J$10/10)))/(1-10^(-($J$10/10))))</f>
        <v>1.7566264497877127</v>
      </c>
      <c r="AA14" s="175">
        <f>ERF(AH14)+ERF(AI14)-1</f>
        <v>0.8129766939852159</v>
      </c>
      <c r="AB14" s="111">
        <f aca="true" t="shared" si="15" ref="AB14:AB35">$E$10-$E$11</f>
        <v>6</v>
      </c>
      <c r="AC14" s="134"/>
      <c r="AD14" s="135"/>
      <c r="AE14" s="110"/>
      <c r="AF14" s="178">
        <f aca="true" t="shared" si="16" ref="AF14:AF35">$Z$8*$P$2/(SQRT(8)*G14)</f>
        <v>1.3305173076621808</v>
      </c>
      <c r="AG14" s="182">
        <f>IF(ABS(AF14)&lt;10,SIGN(AF14)*ERF(ABS(AF14)),SIGN(AF14))</f>
        <v>0.9401144837743759</v>
      </c>
      <c r="AH14" s="188">
        <f aca="true" t="shared" si="17" ref="AH14:AH35">MAX(MIN($Z$8*$P$2*($P$9+1)/(SQRT(8)*G14),10),-10)</f>
        <v>1.6913355605875178</v>
      </c>
      <c r="AI14" s="189">
        <f aca="true" t="shared" si="18" ref="AI14:AI35">MAX(MIN($Z$8*$P$2*(1-$P$9)/(SQRT(8)*G14),10),-10)</f>
        <v>0.9696990547368437</v>
      </c>
    </row>
    <row r="15" spans="1:35" s="20" customFormat="1" ht="15" customHeight="1">
      <c r="A15" s="261">
        <f>$J$3</f>
        <v>0.2</v>
      </c>
      <c r="B15" s="270">
        <f>A15*$B$3</f>
        <v>-1.9753379160080202</v>
      </c>
      <c r="C15" s="127">
        <f>A15*$Z$4</f>
        <v>0.008072399999999999</v>
      </c>
      <c r="D15" s="142">
        <f>(0.187/$B$5)*10^6/(SQRT(B15^2+C15^2))</f>
        <v>152687.9944490202</v>
      </c>
      <c r="E15" s="142">
        <f>$E$7/A15</f>
        <v>2500</v>
      </c>
      <c r="F15" s="104">
        <f aca="true" t="shared" si="19" ref="F15:F35">SQRT((1000*$J$5/D15)^2+(1000*$J$5/E15)^2+$P$4^2)</f>
        <v>244.77974310302397</v>
      </c>
      <c r="G15" s="165">
        <f t="shared" si="0"/>
        <v>277.9130846750156</v>
      </c>
      <c r="H15" s="98">
        <f t="shared" si="1"/>
        <v>1.854036684522359</v>
      </c>
      <c r="I15" s="95">
        <f t="shared" si="2"/>
        <v>0.3084699454750764</v>
      </c>
      <c r="J15" s="95">
        <f>(10^-6)*3.14*$P$6*B15*$B$5</f>
        <v>-0.013035891033506487</v>
      </c>
      <c r="K15" s="95">
        <f t="shared" si="3"/>
        <v>9.612127702164167E-05</v>
      </c>
      <c r="L15" s="95">
        <f t="shared" si="4"/>
        <v>9.935016233172362E-07</v>
      </c>
      <c r="M15" s="95">
        <f>$P$5*10^9*($J$5/G15)*10^($B$8/10)</f>
        <v>0.0012090110848609727</v>
      </c>
      <c r="N15" s="95">
        <f aca="true" t="shared" si="20" ref="N15:N35">10*LOG10(1/SQRT(1-($J$6^2)*M15))</f>
        <v>0.13405920942531446</v>
      </c>
      <c r="O15" s="95">
        <f t="shared" si="5"/>
        <v>6.326826293423515E-08</v>
      </c>
      <c r="P15" s="207">
        <f t="shared" si="6"/>
        <v>5.006190046751059</v>
      </c>
      <c r="Q15" s="95">
        <f t="shared" si="7"/>
        <v>0.5</v>
      </c>
      <c r="R15" s="194">
        <f t="shared" si="8"/>
        <v>0.40274776919844424</v>
      </c>
      <c r="S15" s="96">
        <f>H15+I15+L15+N15+O15+Q15+R15</f>
        <v>3.1993146653910807</v>
      </c>
      <c r="T15" s="95">
        <f t="shared" si="9"/>
        <v>2.3084699454750766</v>
      </c>
      <c r="U15" s="95">
        <f t="shared" si="10"/>
        <v>2.890844719916004</v>
      </c>
      <c r="V15" s="100">
        <f t="shared" si="11"/>
        <v>2.8006853346089193</v>
      </c>
      <c r="W15" s="254">
        <f t="shared" si="12"/>
        <v>-10.21740776142458</v>
      </c>
      <c r="X15" s="19"/>
      <c r="Y15" s="18">
        <f t="shared" si="13"/>
        <v>6.762816496538772</v>
      </c>
      <c r="Z15" s="18">
        <f t="shared" si="14"/>
        <v>1.7566264497877127</v>
      </c>
      <c r="AA15" s="206">
        <f>ERF(AH15)+ERF(AI15)-1</f>
        <v>0.5947323395625617</v>
      </c>
      <c r="AB15" s="99">
        <f t="shared" si="15"/>
        <v>6</v>
      </c>
      <c r="AC15" s="183">
        <f aca="true" t="shared" si="21" ref="AC15:AC35">$J$2</f>
        <v>0.3</v>
      </c>
      <c r="AD15" s="185">
        <v>0</v>
      </c>
      <c r="AE15" s="198">
        <f aca="true" t="shared" si="22" ref="AE15:AE35">IF(A15=$J$2,V15,0)</f>
        <v>0</v>
      </c>
      <c r="AF15" s="153">
        <f t="shared" si="16"/>
        <v>0.9618705633788647</v>
      </c>
      <c r="AG15" s="176">
        <f>IF(ABS(AF15)&lt;10,SIGN(AF15)*ERF(ABS(AF15)),SIGN(AF15))</f>
        <v>0.826261881138857</v>
      </c>
      <c r="AH15" s="191">
        <f t="shared" si="17"/>
        <v>1.222716817854489</v>
      </c>
      <c r="AI15" s="192">
        <f t="shared" si="18"/>
        <v>0.7010243089032404</v>
      </c>
    </row>
    <row r="16" spans="1:35" s="26" customFormat="1" ht="15" customHeight="1">
      <c r="A16" s="262">
        <f aca="true" t="shared" si="23" ref="A16:A35">A15+$J$4</f>
        <v>0.21000000000000002</v>
      </c>
      <c r="B16" s="271">
        <f>A16*$B$3</f>
        <v>-2.074104811808421</v>
      </c>
      <c r="C16" s="128">
        <f>A16*$Z$4</f>
        <v>0.008476019999999999</v>
      </c>
      <c r="D16" s="143">
        <f>(0.187/$B$5)*10^6/(SQRT(B16^2+C16^2))</f>
        <v>145417.13757049543</v>
      </c>
      <c r="E16" s="143">
        <f>$E$7/A16</f>
        <v>2380.9523809523807</v>
      </c>
      <c r="F16" s="105">
        <f t="shared" si="19"/>
        <v>252.3820429498197</v>
      </c>
      <c r="G16" s="105">
        <f t="shared" si="0"/>
        <v>284.63178951678015</v>
      </c>
      <c r="H16" s="50">
        <f t="shared" si="1"/>
        <v>1.9944571886174511</v>
      </c>
      <c r="I16" s="49">
        <f t="shared" si="2"/>
        <v>0.32389344274883025</v>
      </c>
      <c r="J16" s="49">
        <f aca="true" t="shared" si="24" ref="J16:J35">(10^-6)*3.14*$P$6*B16*$B$5</f>
        <v>-0.013687685585181809</v>
      </c>
      <c r="K16" s="49">
        <f t="shared" si="3"/>
        <v>0.0001059727850079032</v>
      </c>
      <c r="L16" s="49">
        <f t="shared" si="4"/>
        <v>1.2075864585723972E-06</v>
      </c>
      <c r="M16" s="49">
        <f aca="true" t="shared" si="25" ref="M16:M33">$P$5*10^9*($J$5/G16)*10^($B$8/10)</f>
        <v>0.0011804724994717833</v>
      </c>
      <c r="N16" s="49">
        <f t="shared" si="20"/>
        <v>0.13079748333003777</v>
      </c>
      <c r="O16" s="49">
        <f t="shared" si="5"/>
        <v>7.497368123554615E-08</v>
      </c>
      <c r="P16" s="205">
        <f t="shared" si="6"/>
        <v>5.006190046751059</v>
      </c>
      <c r="Q16" s="49">
        <f t="shared" si="7"/>
        <v>0.5</v>
      </c>
      <c r="R16" s="197">
        <f t="shared" si="8"/>
        <v>0.40423962459449214</v>
      </c>
      <c r="S16" s="53">
        <f aca="true" t="shared" si="26" ref="S16:S35">H16+I16+L16+N16+O16+Q16+R16</f>
        <v>3.353389021850951</v>
      </c>
      <c r="T16" s="49">
        <f t="shared" si="9"/>
        <v>2.3238934427488305</v>
      </c>
      <c r="U16" s="49">
        <f t="shared" si="10"/>
        <v>3.0294955791021208</v>
      </c>
      <c r="V16" s="54">
        <f t="shared" si="11"/>
        <v>2.646610978149049</v>
      </c>
      <c r="W16" s="97">
        <f t="shared" si="12"/>
        <v>-10.234323114094382</v>
      </c>
      <c r="X16" s="25">
        <f aca="true" t="shared" si="27" ref="X16:X34">(V17-V15)/2</f>
        <v>-0.15776854525823136</v>
      </c>
      <c r="Y16" s="23">
        <f t="shared" si="13"/>
        <v>6.762816496538772</v>
      </c>
      <c r="Z16" s="23">
        <f t="shared" si="14"/>
        <v>1.7566264497877127</v>
      </c>
      <c r="AA16" s="205">
        <f>ERF(AH16)+ERF(AI16)-1</f>
        <v>0.5756126354206494</v>
      </c>
      <c r="AB16" s="52">
        <f t="shared" si="15"/>
        <v>6</v>
      </c>
      <c r="AC16" s="223">
        <f t="shared" si="21"/>
        <v>0.3</v>
      </c>
      <c r="AD16" s="224">
        <f aca="true" t="shared" si="28" ref="AD16:AD34">AD17</f>
        <v>7.9</v>
      </c>
      <c r="AE16" s="201">
        <f t="shared" si="22"/>
        <v>0</v>
      </c>
      <c r="AF16" s="205">
        <f t="shared" si="16"/>
        <v>0.9391657052100151</v>
      </c>
      <c r="AG16" s="225">
        <f>IF(ABS(AF16)&lt;10,SIGN(AF16)*ERF(ABS(AF16)),SIGN(AF16))</f>
        <v>0.8158815682470985</v>
      </c>
      <c r="AH16" s="193">
        <f t="shared" si="17"/>
        <v>1.193854710012731</v>
      </c>
      <c r="AI16" s="193">
        <f t="shared" si="18"/>
        <v>0.6844767004072991</v>
      </c>
    </row>
    <row r="17" spans="1:35" s="26" customFormat="1" ht="15" customHeight="1">
      <c r="A17" s="262">
        <f t="shared" si="23"/>
        <v>0.22000000000000003</v>
      </c>
      <c r="B17" s="271">
        <f aca="true" t="shared" si="29" ref="B17:B34">A17*$B$3</f>
        <v>-2.1728717076088224</v>
      </c>
      <c r="C17" s="128">
        <f aca="true" t="shared" si="30" ref="C17:C34">A17*$Z$4</f>
        <v>0.00887964</v>
      </c>
      <c r="D17" s="143">
        <f aca="true" t="shared" si="31" ref="D17:D35">(0.187/$B$5)*10^6/(SQRT(B17^2+C17^2))</f>
        <v>138807.26768092744</v>
      </c>
      <c r="E17" s="143">
        <f aca="true" t="shared" si="32" ref="E17:E34">$E$7/A17</f>
        <v>2272.7272727272725</v>
      </c>
      <c r="F17" s="105">
        <f t="shared" si="19"/>
        <v>260.1165853740102</v>
      </c>
      <c r="G17" s="105">
        <f t="shared" si="0"/>
        <v>291.51191740070374</v>
      </c>
      <c r="H17" s="50">
        <f t="shared" si="1"/>
        <v>2.1422683404925817</v>
      </c>
      <c r="I17" s="49">
        <f t="shared" si="2"/>
        <v>0.33931694002258406</v>
      </c>
      <c r="J17" s="49">
        <f t="shared" si="24"/>
        <v>-0.014339480136857135</v>
      </c>
      <c r="K17" s="49">
        <f t="shared" si="3"/>
        <v>0.00011630467000470116</v>
      </c>
      <c r="L17" s="49">
        <f t="shared" si="4"/>
        <v>1.4545339748126775E-06</v>
      </c>
      <c r="M17" s="49">
        <f t="shared" si="25"/>
        <v>0.0011526115398505106</v>
      </c>
      <c r="N17" s="49">
        <f t="shared" si="20"/>
        <v>0.1276179235813984</v>
      </c>
      <c r="O17" s="49">
        <f t="shared" si="5"/>
        <v>8.80451981322139E-08</v>
      </c>
      <c r="P17" s="205">
        <f t="shared" si="6"/>
        <v>5.006190046751059</v>
      </c>
      <c r="Q17" s="49">
        <f t="shared" si="7"/>
        <v>0.5</v>
      </c>
      <c r="R17" s="197">
        <f t="shared" si="8"/>
        <v>0.4056470092318065</v>
      </c>
      <c r="S17" s="53">
        <f t="shared" si="26"/>
        <v>3.5148517559075434</v>
      </c>
      <c r="T17" s="49">
        <f t="shared" si="9"/>
        <v>2.339316940022584</v>
      </c>
      <c r="U17" s="49">
        <f t="shared" si="10"/>
        <v>3.1755348158849594</v>
      </c>
      <c r="V17" s="54">
        <f t="shared" si="11"/>
        <v>2.4851482440924566</v>
      </c>
      <c r="W17" s="97">
        <f t="shared" si="12"/>
        <v>-10.25115399600545</v>
      </c>
      <c r="X17" s="25">
        <f t="shared" si="27"/>
        <v>-0.16520097068639328</v>
      </c>
      <c r="Y17" s="23">
        <f t="shared" si="13"/>
        <v>6.762816496538772</v>
      </c>
      <c r="Z17" s="23">
        <f t="shared" si="14"/>
        <v>1.7566264497877127</v>
      </c>
      <c r="AA17" s="205">
        <f>ERF(AH17)+ERF(AI17)-1</f>
        <v>0.5561711600722297</v>
      </c>
      <c r="AB17" s="52">
        <f t="shared" si="15"/>
        <v>6</v>
      </c>
      <c r="AC17" s="223">
        <f t="shared" si="21"/>
        <v>0.3</v>
      </c>
      <c r="AD17" s="224">
        <f t="shared" si="28"/>
        <v>7.9</v>
      </c>
      <c r="AE17" s="201">
        <f t="shared" si="22"/>
        <v>0</v>
      </c>
      <c r="AF17" s="205">
        <f t="shared" si="16"/>
        <v>0.9169999556459645</v>
      </c>
      <c r="AG17" s="225">
        <f>IF(ABS(AF17)&lt;10,SIGN(AF17)*ERF(ABS(AF17)),SIGN(AF17))</f>
        <v>0.8053115051664732</v>
      </c>
      <c r="AH17" s="193">
        <f t="shared" si="17"/>
        <v>1.1656779097194463</v>
      </c>
      <c r="AI17" s="193">
        <f t="shared" si="18"/>
        <v>0.6683220015724827</v>
      </c>
    </row>
    <row r="18" spans="1:35" s="26" customFormat="1" ht="15" customHeight="1">
      <c r="A18" s="262">
        <f t="shared" si="23"/>
        <v>0.23000000000000004</v>
      </c>
      <c r="B18" s="271">
        <f t="shared" si="29"/>
        <v>-2.2716386034092233</v>
      </c>
      <c r="C18" s="128">
        <f t="shared" si="30"/>
        <v>0.00928326</v>
      </c>
      <c r="D18" s="143">
        <f t="shared" si="31"/>
        <v>132772.16908610452</v>
      </c>
      <c r="E18" s="143">
        <f t="shared" si="32"/>
        <v>2173.9130434782605</v>
      </c>
      <c r="F18" s="105">
        <f t="shared" si="19"/>
        <v>267.97191976569627</v>
      </c>
      <c r="G18" s="105">
        <f t="shared" si="0"/>
        <v>298.5423081958615</v>
      </c>
      <c r="H18" s="50">
        <f t="shared" si="1"/>
        <v>2.2974869175176775</v>
      </c>
      <c r="I18" s="49">
        <f t="shared" si="2"/>
        <v>0.3547404372963379</v>
      </c>
      <c r="J18" s="49">
        <f t="shared" si="24"/>
        <v>-0.014991274688532459</v>
      </c>
      <c r="K18" s="49">
        <f t="shared" si="3"/>
        <v>0.0001271169056793241</v>
      </c>
      <c r="L18" s="49">
        <f t="shared" si="4"/>
        <v>1.7375456224081382E-06</v>
      </c>
      <c r="M18" s="49">
        <f t="shared" si="25"/>
        <v>0.0011254686212835336</v>
      </c>
      <c r="N18" s="49">
        <f t="shared" si="20"/>
        <v>0.12452477918165733</v>
      </c>
      <c r="O18" s="49">
        <f t="shared" si="5"/>
        <v>1.0255334950692863E-07</v>
      </c>
      <c r="P18" s="205">
        <f t="shared" si="6"/>
        <v>5.006190046751059</v>
      </c>
      <c r="Q18" s="49">
        <f t="shared" si="7"/>
        <v>0.5</v>
      </c>
      <c r="R18" s="197">
        <f t="shared" si="8"/>
        <v>0.4070369891290926</v>
      </c>
      <c r="S18" s="53">
        <f t="shared" si="26"/>
        <v>3.6837909632237373</v>
      </c>
      <c r="T18" s="49">
        <f t="shared" si="9"/>
        <v>2.354740437296338</v>
      </c>
      <c r="U18" s="49">
        <f t="shared" si="10"/>
        <v>3.3290505259273995</v>
      </c>
      <c r="V18" s="54">
        <f t="shared" si="11"/>
        <v>2.3162090367762627</v>
      </c>
      <c r="W18" s="97">
        <f t="shared" si="12"/>
        <v>-10.26796747317649</v>
      </c>
      <c r="X18" s="25">
        <f t="shared" si="27"/>
        <v>-0.17273442269265282</v>
      </c>
      <c r="Y18" s="23">
        <f t="shared" si="13"/>
        <v>6.762816496538772</v>
      </c>
      <c r="Z18" s="23">
        <f t="shared" si="14"/>
        <v>1.7566264497877127</v>
      </c>
      <c r="AA18" s="205">
        <f>ERF(AH18)+ERF(AI18)-1</f>
        <v>0.5364726787906207</v>
      </c>
      <c r="AB18" s="52">
        <f t="shared" si="15"/>
        <v>6</v>
      </c>
      <c r="AC18" s="223">
        <f t="shared" si="21"/>
        <v>0.3</v>
      </c>
      <c r="AD18" s="224">
        <f t="shared" si="28"/>
        <v>7.9</v>
      </c>
      <c r="AE18" s="201">
        <f t="shared" si="22"/>
        <v>0</v>
      </c>
      <c r="AF18" s="205">
        <f t="shared" si="16"/>
        <v>0.8954054684649251</v>
      </c>
      <c r="AG18" s="225">
        <f>IF(ABS(AF18)&lt;10,SIGN(AF18)*ERF(ABS(AF18)),SIGN(AF18))</f>
        <v>0.7945922467105664</v>
      </c>
      <c r="AH18" s="193">
        <f t="shared" si="17"/>
        <v>1.1382272904215147</v>
      </c>
      <c r="AI18" s="193">
        <f t="shared" si="18"/>
        <v>0.6525836465083352</v>
      </c>
    </row>
    <row r="19" spans="1:35" s="26" customFormat="1" ht="15" customHeight="1">
      <c r="A19" s="262">
        <f t="shared" si="23"/>
        <v>0.24000000000000005</v>
      </c>
      <c r="B19" s="271">
        <f t="shared" si="29"/>
        <v>-2.3704054992096246</v>
      </c>
      <c r="C19" s="128">
        <f t="shared" si="30"/>
        <v>0.00968688</v>
      </c>
      <c r="D19" s="143">
        <f t="shared" si="31"/>
        <v>127239.99537418346</v>
      </c>
      <c r="E19" s="143">
        <f t="shared" si="32"/>
        <v>2083.333333333333</v>
      </c>
      <c r="F19" s="105">
        <f t="shared" si="19"/>
        <v>275.93773028050856</v>
      </c>
      <c r="G19" s="105">
        <f t="shared" si="0"/>
        <v>305.712595410066</v>
      </c>
      <c r="H19" s="50">
        <f t="shared" si="1"/>
        <v>2.4601544793821066</v>
      </c>
      <c r="I19" s="49">
        <f t="shared" si="2"/>
        <v>0.3701639345700917</v>
      </c>
      <c r="J19" s="49">
        <f t="shared" si="24"/>
        <v>-0.015643069240207787</v>
      </c>
      <c r="K19" s="49">
        <f t="shared" si="3"/>
        <v>0.00013840946447514206</v>
      </c>
      <c r="L19" s="49">
        <f t="shared" si="4"/>
        <v>2.059971445124208E-06</v>
      </c>
      <c r="M19" s="49">
        <f t="shared" si="25"/>
        <v>0.00109907149736277</v>
      </c>
      <c r="N19" s="49">
        <f t="shared" si="20"/>
        <v>0.12152084400496317</v>
      </c>
      <c r="O19" s="49">
        <f t="shared" si="5"/>
        <v>1.1856776506447009E-07</v>
      </c>
      <c r="P19" s="205">
        <f t="shared" si="6"/>
        <v>5.006190046751059</v>
      </c>
      <c r="Q19" s="49">
        <f t="shared" si="7"/>
        <v>0.5</v>
      </c>
      <c r="R19" s="197">
        <f t="shared" si="8"/>
        <v>0.4084791647964776</v>
      </c>
      <c r="S19" s="53">
        <f t="shared" si="26"/>
        <v>3.860320601292849</v>
      </c>
      <c r="T19" s="49">
        <f t="shared" si="9"/>
        <v>2.370163934570092</v>
      </c>
      <c r="U19" s="49">
        <f t="shared" si="10"/>
        <v>3.4901566667227573</v>
      </c>
      <c r="V19" s="54">
        <f t="shared" si="11"/>
        <v>2.139679398707151</v>
      </c>
      <c r="W19" s="97">
        <f t="shared" si="12"/>
        <v>-10.284833146117629</v>
      </c>
      <c r="X19" s="25">
        <f t="shared" si="27"/>
        <v>-0.18039704793549038</v>
      </c>
      <c r="Y19" s="23">
        <f t="shared" si="13"/>
        <v>6.762816496538772</v>
      </c>
      <c r="Z19" s="23">
        <f t="shared" si="14"/>
        <v>1.7566264497877127</v>
      </c>
      <c r="AA19" s="205">
        <f>ERF(AH19)+ERF(AI19)-1</f>
        <v>0.5165788671970983</v>
      </c>
      <c r="AB19" s="52">
        <f t="shared" si="15"/>
        <v>6</v>
      </c>
      <c r="AC19" s="223">
        <f t="shared" si="21"/>
        <v>0.3</v>
      </c>
      <c r="AD19" s="224">
        <f t="shared" si="28"/>
        <v>7.9</v>
      </c>
      <c r="AE19" s="201">
        <f t="shared" si="22"/>
        <v>0</v>
      </c>
      <c r="AF19" s="205">
        <f t="shared" si="16"/>
        <v>0.8744043239963728</v>
      </c>
      <c r="AG19" s="225">
        <f>IF(ABS(AF19)&lt;10,SIGN(AF19)*ERF(ABS(AF19)),SIGN(AF19))</f>
        <v>0.7837622090484313</v>
      </c>
      <c r="AH19" s="193">
        <f t="shared" si="17"/>
        <v>1.1115309203343722</v>
      </c>
      <c r="AI19" s="193">
        <f t="shared" si="18"/>
        <v>0.6372777276583734</v>
      </c>
    </row>
    <row r="20" spans="1:35" s="20" customFormat="1" ht="15" customHeight="1">
      <c r="A20" s="261">
        <f t="shared" si="23"/>
        <v>0.25000000000000006</v>
      </c>
      <c r="B20" s="270">
        <f t="shared" si="29"/>
        <v>-2.4691723950100255</v>
      </c>
      <c r="C20" s="127">
        <f t="shared" si="30"/>
        <v>0.0100905</v>
      </c>
      <c r="D20" s="142">
        <f t="shared" si="31"/>
        <v>122150.39555921614</v>
      </c>
      <c r="E20" s="142">
        <f t="shared" si="32"/>
        <v>1999.9999999999995</v>
      </c>
      <c r="F20" s="104">
        <f t="shared" si="19"/>
        <v>284.00472111387967</v>
      </c>
      <c r="G20" s="104">
        <f t="shared" si="0"/>
        <v>313.01316524225075</v>
      </c>
      <c r="H20" s="98">
        <f t="shared" si="1"/>
        <v>2.6303412449756975</v>
      </c>
      <c r="I20" s="95">
        <f t="shared" si="2"/>
        <v>0.3855874318438456</v>
      </c>
      <c r="J20" s="95">
        <f t="shared" si="24"/>
        <v>-0.01629486379188311</v>
      </c>
      <c r="K20" s="95">
        <f t="shared" si="3"/>
        <v>0.00015018231761173225</v>
      </c>
      <c r="L20" s="95">
        <f t="shared" si="4"/>
        <v>2.425310039279852E-06</v>
      </c>
      <c r="M20" s="95">
        <f t="shared" si="25"/>
        <v>0.0010734372777578191</v>
      </c>
      <c r="N20" s="95">
        <f t="shared" si="20"/>
        <v>0.11860769740920193</v>
      </c>
      <c r="O20" s="95">
        <f t="shared" si="5"/>
        <v>1.361572695840474E-07</v>
      </c>
      <c r="P20" s="207">
        <f t="shared" si="6"/>
        <v>5.006190046751059</v>
      </c>
      <c r="Q20" s="95">
        <f t="shared" si="7"/>
        <v>0.5</v>
      </c>
      <c r="R20" s="196">
        <f t="shared" si="8"/>
        <v>0.41004612339866364</v>
      </c>
      <c r="S20" s="96">
        <f t="shared" si="26"/>
        <v>4.044585059094718</v>
      </c>
      <c r="T20" s="95">
        <f t="shared" si="9"/>
        <v>2.3855874318438457</v>
      </c>
      <c r="U20" s="95">
        <f t="shared" si="10"/>
        <v>3.6589976272508724</v>
      </c>
      <c r="V20" s="100">
        <f t="shared" si="11"/>
        <v>1.955414940905282</v>
      </c>
      <c r="W20" s="101">
        <f t="shared" si="12"/>
        <v>-10.301823601993569</v>
      </c>
      <c r="X20" s="27">
        <f t="shared" si="27"/>
        <v>-0.18822291356597542</v>
      </c>
      <c r="Y20" s="18">
        <f t="shared" si="13"/>
        <v>6.762816496538772</v>
      </c>
      <c r="Z20" s="18">
        <f t="shared" si="14"/>
        <v>1.7566264497877127</v>
      </c>
      <c r="AA20" s="207">
        <f>ERF(AH20)+ERF(AI20)-1</f>
        <v>0.4965480299408642</v>
      </c>
      <c r="AB20" s="99">
        <f t="shared" si="15"/>
        <v>6</v>
      </c>
      <c r="AC20" s="226">
        <f t="shared" si="21"/>
        <v>0.3</v>
      </c>
      <c r="AD20" s="227">
        <f t="shared" si="28"/>
        <v>7.9</v>
      </c>
      <c r="AE20" s="228">
        <f t="shared" si="22"/>
        <v>0</v>
      </c>
      <c r="AF20" s="207">
        <f t="shared" si="16"/>
        <v>0.8540101344294283</v>
      </c>
      <c r="AG20" s="229">
        <f>IF(ABS(AF20)&lt;10,SIGN(AF20)*ERF(ABS(AF20)),SIGN(AF20))</f>
        <v>0.7728574900462455</v>
      </c>
      <c r="AH20" s="191">
        <f t="shared" si="17"/>
        <v>1.0856061030882562</v>
      </c>
      <c r="AI20" s="191">
        <f t="shared" si="18"/>
        <v>0.6224141657706003</v>
      </c>
    </row>
    <row r="21" spans="1:35" s="26" customFormat="1" ht="15" customHeight="1">
      <c r="A21" s="262">
        <f t="shared" si="23"/>
        <v>0.26000000000000006</v>
      </c>
      <c r="B21" s="271">
        <f t="shared" si="29"/>
        <v>-2.567939290810427</v>
      </c>
      <c r="C21" s="128">
        <f t="shared" si="30"/>
        <v>0.010494120000000001</v>
      </c>
      <c r="D21" s="143">
        <f t="shared" si="31"/>
        <v>117452.30342232318</v>
      </c>
      <c r="E21" s="143">
        <f t="shared" si="32"/>
        <v>1923.0769230769226</v>
      </c>
      <c r="F21" s="105">
        <f t="shared" si="19"/>
        <v>292.1645112787559</v>
      </c>
      <c r="G21" s="105">
        <f t="shared" si="0"/>
        <v>320.435113011596</v>
      </c>
      <c r="H21" s="50">
        <f t="shared" si="1"/>
        <v>2.808153354418321</v>
      </c>
      <c r="I21" s="49">
        <f t="shared" si="2"/>
        <v>0.4010109291175994</v>
      </c>
      <c r="J21" s="49">
        <f t="shared" si="24"/>
        <v>-0.016946658343558435</v>
      </c>
      <c r="K21" s="49">
        <f t="shared" si="3"/>
        <v>0.0001624354350851302</v>
      </c>
      <c r="L21" s="49">
        <f t="shared" si="4"/>
        <v>2.8372085080368617E-06</v>
      </c>
      <c r="M21" s="49">
        <f t="shared" si="25"/>
        <v>0.0010485742240983458</v>
      </c>
      <c r="N21" s="49">
        <f t="shared" si="20"/>
        <v>0.11578591698778147</v>
      </c>
      <c r="O21" s="49">
        <f t="shared" si="5"/>
        <v>1.553899819511928E-07</v>
      </c>
      <c r="P21" s="205">
        <f t="shared" si="6"/>
        <v>5.006190046751059</v>
      </c>
      <c r="Q21" s="49">
        <f t="shared" si="7"/>
        <v>0.5</v>
      </c>
      <c r="R21" s="197">
        <f t="shared" si="8"/>
        <v>0.41181323530260805</v>
      </c>
      <c r="S21" s="53">
        <f t="shared" si="26"/>
        <v>4.2367664284248</v>
      </c>
      <c r="T21" s="49">
        <f t="shared" si="9"/>
        <v>2.401010929117599</v>
      </c>
      <c r="U21" s="49">
        <f t="shared" si="10"/>
        <v>3.8357554993072007</v>
      </c>
      <c r="V21" s="54">
        <f t="shared" si="11"/>
        <v>1.7632335715752</v>
      </c>
      <c r="W21" s="97">
        <f t="shared" si="12"/>
        <v>-10.319014211171266</v>
      </c>
      <c r="X21" s="25">
        <f t="shared" si="27"/>
        <v>-0.19625228168441033</v>
      </c>
      <c r="Y21" s="23">
        <f t="shared" si="13"/>
        <v>6.762816496538772</v>
      </c>
      <c r="Z21" s="23">
        <f t="shared" si="14"/>
        <v>1.7566264497877127</v>
      </c>
      <c r="AA21" s="205">
        <f>ERF(AH21)+ERF(AI21)-1</f>
        <v>0.4764346520035976</v>
      </c>
      <c r="AB21" s="52">
        <f t="shared" si="15"/>
        <v>6</v>
      </c>
      <c r="AC21" s="223">
        <f t="shared" si="21"/>
        <v>0.3</v>
      </c>
      <c r="AD21" s="224">
        <f t="shared" si="28"/>
        <v>7.9</v>
      </c>
      <c r="AE21" s="201">
        <f t="shared" si="22"/>
        <v>0</v>
      </c>
      <c r="AF21" s="205">
        <f t="shared" si="16"/>
        <v>0.8342294725891718</v>
      </c>
      <c r="AG21" s="225">
        <f>IF(ABS(AF21)&lt;10,SIGN(AF21)*ERF(ABS(AF21)),SIGN(AF21))</f>
        <v>0.7619115609496367</v>
      </c>
      <c r="AH21" s="193">
        <f t="shared" si="17"/>
        <v>1.060461193969286</v>
      </c>
      <c r="AI21" s="193">
        <f t="shared" si="18"/>
        <v>0.6079977512090574</v>
      </c>
    </row>
    <row r="22" spans="1:35" s="26" customFormat="1" ht="15" customHeight="1">
      <c r="A22" s="262">
        <f t="shared" si="23"/>
        <v>0.2700000000000001</v>
      </c>
      <c r="B22" s="271">
        <f t="shared" si="29"/>
        <v>-2.6667061866108277</v>
      </c>
      <c r="C22" s="128">
        <f t="shared" si="30"/>
        <v>0.010897740000000001</v>
      </c>
      <c r="D22" s="143">
        <f t="shared" si="31"/>
        <v>113102.2181103853</v>
      </c>
      <c r="E22" s="143">
        <f t="shared" si="32"/>
        <v>1851.8518518518513</v>
      </c>
      <c r="F22" s="105">
        <f t="shared" si="19"/>
        <v>300.40953896257025</v>
      </c>
      <c r="G22" s="105">
        <f t="shared" si="0"/>
        <v>327.97019849325335</v>
      </c>
      <c r="H22" s="50">
        <f t="shared" si="1"/>
        <v>2.9937358132375986</v>
      </c>
      <c r="I22" s="49">
        <f t="shared" si="2"/>
        <v>0.41643442639135325</v>
      </c>
      <c r="J22" s="49">
        <f t="shared" si="24"/>
        <v>-0.01759845289523376</v>
      </c>
      <c r="K22" s="49">
        <f t="shared" si="3"/>
        <v>0.0001751687856675158</v>
      </c>
      <c r="L22" s="49">
        <f t="shared" si="4"/>
        <v>3.299462419495032E-06</v>
      </c>
      <c r="M22" s="49">
        <f t="shared" si="25"/>
        <v>0.0010244833266669863</v>
      </c>
      <c r="N22" s="49">
        <f t="shared" si="20"/>
        <v>0.11305526417347457</v>
      </c>
      <c r="O22" s="49">
        <f t="shared" si="5"/>
        <v>1.7633340086697924E-07</v>
      </c>
      <c r="P22" s="205">
        <f t="shared" si="6"/>
        <v>5.006190046751059</v>
      </c>
      <c r="Q22" s="49">
        <f t="shared" si="7"/>
        <v>0.5</v>
      </c>
      <c r="R22" s="197">
        <f t="shared" si="8"/>
        <v>0.4138606428652918</v>
      </c>
      <c r="S22" s="53">
        <f t="shared" si="26"/>
        <v>4.437089622463539</v>
      </c>
      <c r="T22" s="49">
        <f t="shared" si="9"/>
        <v>2.416434426391353</v>
      </c>
      <c r="U22" s="49">
        <f t="shared" si="10"/>
        <v>4.020655196072186</v>
      </c>
      <c r="V22" s="54">
        <f t="shared" si="11"/>
        <v>1.5629103775364612</v>
      </c>
      <c r="W22" s="97">
        <f t="shared" si="12"/>
        <v>-10.336485116007704</v>
      </c>
      <c r="X22" s="25">
        <f t="shared" si="27"/>
        <v>-0.20453235917512957</v>
      </c>
      <c r="Y22" s="23">
        <f t="shared" si="13"/>
        <v>6.762816496538772</v>
      </c>
      <c r="Z22" s="23">
        <f t="shared" si="14"/>
        <v>1.7566264497877127</v>
      </c>
      <c r="AA22" s="205">
        <f>ERF(AH22)+ERF(AI22)-1</f>
        <v>0.4562893732492799</v>
      </c>
      <c r="AB22" s="52">
        <f t="shared" si="15"/>
        <v>6</v>
      </c>
      <c r="AC22" s="223">
        <f t="shared" si="21"/>
        <v>0.3</v>
      </c>
      <c r="AD22" s="224">
        <f t="shared" si="28"/>
        <v>7.9</v>
      </c>
      <c r="AE22" s="201">
        <f t="shared" si="22"/>
        <v>0</v>
      </c>
      <c r="AF22" s="205">
        <f t="shared" si="16"/>
        <v>0.8150631263291879</v>
      </c>
      <c r="AG22" s="225">
        <f>IF(ABS(AF22)&lt;10,SIGN(AF22)*ERF(ABS(AF22)),SIGN(AF22))</f>
        <v>0.7509553294137117</v>
      </c>
      <c r="AH22" s="193">
        <f t="shared" si="17"/>
        <v>1.0360971944862558</v>
      </c>
      <c r="AI22" s="193">
        <f t="shared" si="18"/>
        <v>0.59402905817212</v>
      </c>
    </row>
    <row r="23" spans="1:35" s="26" customFormat="1" ht="15" customHeight="1">
      <c r="A23" s="262">
        <f t="shared" si="23"/>
        <v>0.2800000000000001</v>
      </c>
      <c r="B23" s="271">
        <f t="shared" si="29"/>
        <v>-2.765473082411229</v>
      </c>
      <c r="C23" s="128">
        <f t="shared" si="30"/>
        <v>0.011301360000000002</v>
      </c>
      <c r="D23" s="143">
        <f t="shared" si="31"/>
        <v>109062.85317787154</v>
      </c>
      <c r="E23" s="143">
        <f t="shared" si="32"/>
        <v>1785.714285714285</v>
      </c>
      <c r="F23" s="105">
        <f t="shared" si="19"/>
        <v>308.73297517729065</v>
      </c>
      <c r="G23" s="105">
        <f t="shared" si="0"/>
        <v>335.610801318762</v>
      </c>
      <c r="H23" s="50">
        <f t="shared" si="1"/>
        <v>3.187283735063475</v>
      </c>
      <c r="I23" s="49">
        <f t="shared" si="2"/>
        <v>0.43185792366510706</v>
      </c>
      <c r="J23" s="49">
        <f t="shared" si="24"/>
        <v>-0.018250247446909087</v>
      </c>
      <c r="K23" s="49">
        <f t="shared" si="3"/>
        <v>0.00018838233690796687</v>
      </c>
      <c r="L23" s="49">
        <f t="shared" si="4"/>
        <v>3.816015757981277E-06</v>
      </c>
      <c r="M23" s="49">
        <f t="shared" si="25"/>
        <v>0.0010011596726914292</v>
      </c>
      <c r="N23" s="49">
        <f t="shared" si="20"/>
        <v>0.11041484430839547</v>
      </c>
      <c r="O23" s="49">
        <f t="shared" si="5"/>
        <v>1.9905449148704957E-07</v>
      </c>
      <c r="P23" s="205">
        <f t="shared" si="6"/>
        <v>5.006190046751059</v>
      </c>
      <c r="Q23" s="49">
        <f t="shared" si="7"/>
        <v>0.5</v>
      </c>
      <c r="R23" s="197">
        <f t="shared" si="8"/>
        <v>0.41627062866783193</v>
      </c>
      <c r="S23" s="53">
        <f t="shared" si="26"/>
        <v>4.645831146775059</v>
      </c>
      <c r="T23" s="49">
        <f t="shared" si="9"/>
        <v>2.431857923665107</v>
      </c>
      <c r="U23" s="49">
        <f t="shared" si="10"/>
        <v>4.213973223109952</v>
      </c>
      <c r="V23" s="54">
        <f t="shared" si="11"/>
        <v>1.354168853224941</v>
      </c>
      <c r="W23" s="97">
        <f t="shared" si="12"/>
        <v>-10.354318599084</v>
      </c>
      <c r="X23" s="25">
        <f t="shared" si="27"/>
        <v>-0.21311861506868013</v>
      </c>
      <c r="Y23" s="23">
        <f t="shared" si="13"/>
        <v>6.762816496538772</v>
      </c>
      <c r="Z23" s="23">
        <f t="shared" si="14"/>
        <v>1.7566264497877127</v>
      </c>
      <c r="AA23" s="205">
        <f>ERF(AH23)+ERF(AI23)-1</f>
        <v>0.4361587240165865</v>
      </c>
      <c r="AB23" s="52">
        <f t="shared" si="15"/>
        <v>6</v>
      </c>
      <c r="AC23" s="223">
        <f t="shared" si="21"/>
        <v>0.3</v>
      </c>
      <c r="AD23" s="224">
        <f t="shared" si="28"/>
        <v>7.9</v>
      </c>
      <c r="AE23" s="201">
        <f t="shared" si="22"/>
        <v>0</v>
      </c>
      <c r="AF23" s="205">
        <f t="shared" si="16"/>
        <v>0.7965071871236323</v>
      </c>
      <c r="AG23" s="225">
        <f>IF(ABS(AF23)&lt;10,SIGN(AF23)*ERF(ABS(AF23)),SIGN(AF23))</f>
        <v>0.7400167942348282</v>
      </c>
      <c r="AH23" s="193">
        <f t="shared" si="17"/>
        <v>1.012509136174109</v>
      </c>
      <c r="AI23" s="193">
        <f t="shared" si="18"/>
        <v>0.5805052380731559</v>
      </c>
    </row>
    <row r="24" spans="1:35" s="26" customFormat="1" ht="15" customHeight="1">
      <c r="A24" s="262">
        <f t="shared" si="23"/>
        <v>0.2900000000000001</v>
      </c>
      <c r="B24" s="271">
        <f t="shared" si="29"/>
        <v>-2.86423997821163</v>
      </c>
      <c r="C24" s="128">
        <f t="shared" si="30"/>
        <v>0.011704980000000002</v>
      </c>
      <c r="D24" s="143">
        <f t="shared" si="31"/>
        <v>105302.06513725527</v>
      </c>
      <c r="E24" s="143">
        <f t="shared" si="32"/>
        <v>1724.137931034482</v>
      </c>
      <c r="F24" s="105">
        <f t="shared" si="19"/>
        <v>317.1286461944223</v>
      </c>
      <c r="G24" s="105">
        <f t="shared" si="0"/>
        <v>343.3498772929838</v>
      </c>
      <c r="H24" s="50">
        <f t="shared" si="1"/>
        <v>3.389046326898417</v>
      </c>
      <c r="I24" s="49">
        <f t="shared" si="2"/>
        <v>0.44728142093886086</v>
      </c>
      <c r="J24" s="49">
        <f t="shared" si="24"/>
        <v>-0.018902041998584408</v>
      </c>
      <c r="K24" s="49">
        <f t="shared" si="3"/>
        <v>0.00020207605513214525</v>
      </c>
      <c r="L24" s="49">
        <f t="shared" si="4"/>
        <v>4.390960871421131E-06</v>
      </c>
      <c r="M24" s="49">
        <f t="shared" si="25"/>
        <v>0.0009785936219027331</v>
      </c>
      <c r="N24" s="49">
        <f t="shared" si="20"/>
        <v>0.10786324331400848</v>
      </c>
      <c r="O24" s="49">
        <f t="shared" si="5"/>
        <v>2.2361975066109707E-07</v>
      </c>
      <c r="P24" s="205">
        <f t="shared" si="6"/>
        <v>5.006190046751059</v>
      </c>
      <c r="Q24" s="49">
        <f t="shared" si="7"/>
        <v>0.5</v>
      </c>
      <c r="R24" s="197">
        <f t="shared" si="8"/>
        <v>0.4191312468689907</v>
      </c>
      <c r="S24" s="53">
        <f t="shared" si="26"/>
        <v>4.863326852600899</v>
      </c>
      <c r="T24" s="49">
        <f t="shared" si="9"/>
        <v>2.447281420938861</v>
      </c>
      <c r="U24" s="49">
        <f t="shared" si="10"/>
        <v>4.416045431662038</v>
      </c>
      <c r="V24" s="54">
        <f t="shared" si="11"/>
        <v>1.136673147399101</v>
      </c>
      <c r="W24" s="97">
        <f t="shared" si="12"/>
        <v>-10.372602714558912</v>
      </c>
      <c r="X24" s="25">
        <f t="shared" si="27"/>
        <v>-0.2220748283013143</v>
      </c>
      <c r="Y24" s="23">
        <f t="shared" si="13"/>
        <v>6.762816496538772</v>
      </c>
      <c r="Z24" s="23">
        <f t="shared" si="14"/>
        <v>1.7566264497877127</v>
      </c>
      <c r="AA24" s="205">
        <f>ERF(AH24)+ERF(AI24)-1</f>
        <v>0.4160851753326775</v>
      </c>
      <c r="AB24" s="52">
        <f t="shared" si="15"/>
        <v>6</v>
      </c>
      <c r="AC24" s="223">
        <f t="shared" si="21"/>
        <v>0.3</v>
      </c>
      <c r="AD24" s="224">
        <f t="shared" si="28"/>
        <v>7.9</v>
      </c>
      <c r="AE24" s="201">
        <f t="shared" si="22"/>
        <v>0</v>
      </c>
      <c r="AF24" s="205">
        <f t="shared" si="16"/>
        <v>0.7785539853232907</v>
      </c>
      <c r="AG24" s="225">
        <f>IF(ABS(AF24)&lt;10,SIGN(AF24)*ERF(ABS(AF24)),SIGN(AF24))</f>
        <v>0.7291212508775611</v>
      </c>
      <c r="AH24" s="193">
        <f t="shared" si="17"/>
        <v>0.9896872694787594</v>
      </c>
      <c r="AI24" s="193">
        <f t="shared" si="18"/>
        <v>0.5674207011678221</v>
      </c>
    </row>
    <row r="25" spans="1:35" s="20" customFormat="1" ht="15" customHeight="1">
      <c r="A25" s="261">
        <f t="shared" si="23"/>
        <v>0.3000000000000001</v>
      </c>
      <c r="B25" s="270">
        <f t="shared" si="29"/>
        <v>-2.9630068740120312</v>
      </c>
      <c r="C25" s="127">
        <f t="shared" si="30"/>
        <v>0.012108600000000002</v>
      </c>
      <c r="D25" s="142">
        <f t="shared" si="31"/>
        <v>101791.99629934676</v>
      </c>
      <c r="E25" s="142">
        <f t="shared" si="32"/>
        <v>1666.666666666666</v>
      </c>
      <c r="F25" s="104">
        <f t="shared" si="19"/>
        <v>325.590964133774</v>
      </c>
      <c r="G25" s="104">
        <f t="shared" si="0"/>
        <v>351.1809162320192</v>
      </c>
      <c r="H25" s="98">
        <f t="shared" si="1"/>
        <v>3.599335678646379</v>
      </c>
      <c r="I25" s="95">
        <f t="shared" si="2"/>
        <v>0.4627049182126147</v>
      </c>
      <c r="J25" s="95">
        <f t="shared" si="24"/>
        <v>-0.019553836550259735</v>
      </c>
      <c r="K25" s="95">
        <f t="shared" si="3"/>
        <v>0.0002162499054424851</v>
      </c>
      <c r="L25" s="95">
        <f t="shared" si="4"/>
        <v>5.02853842443121E-06</v>
      </c>
      <c r="M25" s="95">
        <f t="shared" si="25"/>
        <v>0.0009567718075489347</v>
      </c>
      <c r="N25" s="95">
        <f t="shared" si="20"/>
        <v>0.10539864333868351</v>
      </c>
      <c r="O25" s="95">
        <f t="shared" si="5"/>
        <v>2.5009528251129787E-07</v>
      </c>
      <c r="P25" s="207">
        <f t="shared" si="6"/>
        <v>5.006190046751059</v>
      </c>
      <c r="Q25" s="95">
        <f t="shared" si="7"/>
        <v>0.5</v>
      </c>
      <c r="R25" s="196">
        <f t="shared" si="8"/>
        <v>0.422536284546303</v>
      </c>
      <c r="S25" s="96">
        <f t="shared" si="26"/>
        <v>5.089980803377688</v>
      </c>
      <c r="T25" s="95">
        <f t="shared" si="9"/>
        <v>2.462704918212615</v>
      </c>
      <c r="U25" s="95">
        <f t="shared" si="10"/>
        <v>4.627275885165073</v>
      </c>
      <c r="V25" s="100">
        <f t="shared" si="11"/>
        <v>0.9100191966223123</v>
      </c>
      <c r="W25" s="101">
        <f t="shared" si="12"/>
        <v>-10.391431249509978</v>
      </c>
      <c r="X25" s="27">
        <f t="shared" si="27"/>
        <v>-0.23147597162235023</v>
      </c>
      <c r="Y25" s="18">
        <f t="shared" si="13"/>
        <v>6.762816496538772</v>
      </c>
      <c r="Z25" s="18">
        <f t="shared" si="14"/>
        <v>1.7566264497877127</v>
      </c>
      <c r="AA25" s="207">
        <f>ERF(AH25)+ERF(AI25)-1</f>
        <v>0.39610726118021966</v>
      </c>
      <c r="AB25" s="99">
        <f t="shared" si="15"/>
        <v>6</v>
      </c>
      <c r="AC25" s="226">
        <f t="shared" si="21"/>
        <v>0.3</v>
      </c>
      <c r="AD25" s="227">
        <f t="shared" si="28"/>
        <v>7.9</v>
      </c>
      <c r="AE25" s="228">
        <f t="shared" si="22"/>
        <v>0.9100191966223123</v>
      </c>
      <c r="AF25" s="207">
        <f t="shared" si="16"/>
        <v>0.7611928865465571</v>
      </c>
      <c r="AG25" s="229">
        <f>IF(ABS(AF25)&lt;10,SIGN(AF25)*ERF(ABS(AF25)),SIGN(AF25))</f>
        <v>0.7182913046364899</v>
      </c>
      <c r="AH25" s="191">
        <f t="shared" si="17"/>
        <v>0.9676180761185048</v>
      </c>
      <c r="AI25" s="191">
        <f t="shared" si="18"/>
        <v>0.5547676969746095</v>
      </c>
    </row>
    <row r="26" spans="1:35" s="26" customFormat="1" ht="15" customHeight="1">
      <c r="A26" s="262">
        <f t="shared" si="23"/>
        <v>0.3100000000000001</v>
      </c>
      <c r="B26" s="271">
        <f t="shared" si="29"/>
        <v>-3.061773769812432</v>
      </c>
      <c r="C26" s="128">
        <f t="shared" si="30"/>
        <v>0.012512220000000003</v>
      </c>
      <c r="D26" s="143">
        <f t="shared" si="31"/>
        <v>98508.38351549685</v>
      </c>
      <c r="E26" s="143">
        <f t="shared" si="32"/>
        <v>1612.903225806451</v>
      </c>
      <c r="F26" s="105">
        <f t="shared" si="19"/>
        <v>334.1148650197741</v>
      </c>
      <c r="G26" s="105">
        <f t="shared" si="0"/>
        <v>359.0979017304081</v>
      </c>
      <c r="H26" s="50">
        <f t="shared" si="1"/>
        <v>3.818536026127839</v>
      </c>
      <c r="I26" s="49">
        <f t="shared" si="2"/>
        <v>0.47812841548636853</v>
      </c>
      <c r="J26" s="49">
        <f t="shared" si="24"/>
        <v>-0.020205631101935056</v>
      </c>
      <c r="K26" s="49">
        <f t="shared" si="3"/>
        <v>0.0002309038517186326</v>
      </c>
      <c r="L26" s="49">
        <f t="shared" si="4"/>
        <v>5.733137343627173E-06</v>
      </c>
      <c r="M26" s="49">
        <f t="shared" si="25"/>
        <v>0.0009356779819121617</v>
      </c>
      <c r="N26" s="49">
        <f t="shared" si="20"/>
        <v>0.10301891981279217</v>
      </c>
      <c r="O26" s="49">
        <f t="shared" si="5"/>
        <v>2.78546844728611E-07</v>
      </c>
      <c r="P26" s="205">
        <f t="shared" si="6"/>
        <v>5.006190046751059</v>
      </c>
      <c r="Q26" s="49">
        <f t="shared" si="7"/>
        <v>0.5</v>
      </c>
      <c r="R26" s="197">
        <f t="shared" si="8"/>
        <v>0.42658942273441225</v>
      </c>
      <c r="S26" s="53">
        <f t="shared" si="26"/>
        <v>5.3262787958455995</v>
      </c>
      <c r="T26" s="49">
        <f t="shared" si="9"/>
        <v>2.4781284154863688</v>
      </c>
      <c r="U26" s="49">
        <f t="shared" si="10"/>
        <v>4.848150380359231</v>
      </c>
      <c r="V26" s="54">
        <f t="shared" si="11"/>
        <v>0.6737212041544005</v>
      </c>
      <c r="W26" s="97">
        <f t="shared" si="12"/>
        <v>-10.410907884971841</v>
      </c>
      <c r="X26" s="25">
        <f t="shared" si="27"/>
        <v>-0.24140923339510723</v>
      </c>
      <c r="Y26" s="23">
        <f t="shared" si="13"/>
        <v>6.762816496538772</v>
      </c>
      <c r="Z26" s="23">
        <f t="shared" si="14"/>
        <v>1.7566264497877127</v>
      </c>
      <c r="AA26" s="205">
        <f>ERF(AH26)+ERF(AI26)-1</f>
        <v>0.37625948360426076</v>
      </c>
      <c r="AB26" s="52">
        <f t="shared" si="15"/>
        <v>6</v>
      </c>
      <c r="AC26" s="223">
        <f t="shared" si="21"/>
        <v>0.3</v>
      </c>
      <c r="AD26" s="224">
        <f t="shared" si="28"/>
        <v>7.9</v>
      </c>
      <c r="AE26" s="201">
        <f t="shared" si="22"/>
        <v>0</v>
      </c>
      <c r="AF26" s="205">
        <f t="shared" si="16"/>
        <v>0.7444109643598045</v>
      </c>
      <c r="AG26" s="225">
        <f>IF(ABS(AF26)&lt;10,SIGN(AF26)*ERF(ABS(AF26)),SIGN(AF26))</f>
        <v>0.7075469720421115</v>
      </c>
      <c r="AH26" s="193">
        <f t="shared" si="17"/>
        <v>0.946285124186192</v>
      </c>
      <c r="AI26" s="193">
        <f t="shared" si="18"/>
        <v>0.5425368045334168</v>
      </c>
    </row>
    <row r="27" spans="1:35" s="26" customFormat="1" ht="15" customHeight="1">
      <c r="A27" s="262">
        <f t="shared" si="23"/>
        <v>0.3200000000000001</v>
      </c>
      <c r="B27" s="271">
        <f t="shared" si="29"/>
        <v>-3.1605406656128334</v>
      </c>
      <c r="C27" s="128">
        <f t="shared" si="30"/>
        <v>0.012915840000000003</v>
      </c>
      <c r="D27" s="143">
        <f t="shared" si="31"/>
        <v>95429.99653063758</v>
      </c>
      <c r="E27" s="143">
        <f t="shared" si="32"/>
        <v>1562.4999999999993</v>
      </c>
      <c r="F27" s="105">
        <f t="shared" si="19"/>
        <v>342.69575360948244</v>
      </c>
      <c r="G27" s="105">
        <f t="shared" si="0"/>
        <v>367.09527311308585</v>
      </c>
      <c r="H27" s="50">
        <f t="shared" si="1"/>
        <v>4.047114713155536</v>
      </c>
      <c r="I27" s="49">
        <f t="shared" si="2"/>
        <v>0.4935519127601224</v>
      </c>
      <c r="J27" s="49">
        <f t="shared" si="24"/>
        <v>-0.020857425653610383</v>
      </c>
      <c r="K27" s="49">
        <f t="shared" si="3"/>
        <v>0.00024603785661719466</v>
      </c>
      <c r="L27" s="49">
        <f t="shared" si="4"/>
        <v>6.509294766714048E-06</v>
      </c>
      <c r="M27" s="49">
        <f t="shared" si="25"/>
        <v>0.0009152937251155866</v>
      </c>
      <c r="N27" s="49">
        <f t="shared" si="20"/>
        <v>0.10072172226775897</v>
      </c>
      <c r="O27" s="49">
        <f t="shared" si="5"/>
        <v>3.0903989867159254E-07</v>
      </c>
      <c r="P27" s="205">
        <f t="shared" si="6"/>
        <v>5.006190046751059</v>
      </c>
      <c r="Q27" s="49">
        <f t="shared" si="7"/>
        <v>0.5</v>
      </c>
      <c r="R27" s="197">
        <f t="shared" si="8"/>
        <v>0.43140410364981996</v>
      </c>
      <c r="S27" s="53">
        <f t="shared" si="26"/>
        <v>5.572799270167902</v>
      </c>
      <c r="T27" s="49">
        <f t="shared" si="9"/>
        <v>2.4935519127601222</v>
      </c>
      <c r="U27" s="49">
        <f t="shared" si="10"/>
        <v>5.079247357407779</v>
      </c>
      <c r="V27" s="54">
        <f t="shared" si="11"/>
        <v>0.4272007298320979</v>
      </c>
      <c r="W27" s="97">
        <f t="shared" si="12"/>
        <v>-10.431146063161002</v>
      </c>
      <c r="X27" s="25">
        <f t="shared" si="27"/>
        <v>-0.25197720033672155</v>
      </c>
      <c r="Y27" s="23">
        <f t="shared" si="13"/>
        <v>6.762816496538772</v>
      </c>
      <c r="Z27" s="23">
        <f t="shared" si="14"/>
        <v>1.7566264497877127</v>
      </c>
      <c r="AA27" s="205">
        <f>ERF(AH27)+ERF(AI27)-1</f>
        <v>0.3565727236131102</v>
      </c>
      <c r="AB27" s="52">
        <f t="shared" si="15"/>
        <v>6</v>
      </c>
      <c r="AC27" s="223">
        <f t="shared" si="21"/>
        <v>0.3</v>
      </c>
      <c r="AD27" s="224">
        <f t="shared" si="28"/>
        <v>7.9</v>
      </c>
      <c r="AE27" s="201">
        <f t="shared" si="22"/>
        <v>0</v>
      </c>
      <c r="AF27" s="205">
        <f t="shared" si="16"/>
        <v>0.7281935641932578</v>
      </c>
      <c r="AG27" s="225">
        <f>IF(ABS(AF27)&lt;10,SIGN(AF27)*ERF(ABS(AF27)),SIGN(AF27))</f>
        <v>0.6969058109911097</v>
      </c>
      <c r="AH27" s="193">
        <f t="shared" si="17"/>
        <v>0.9256697849914293</v>
      </c>
      <c r="AI27" s="193">
        <f t="shared" si="18"/>
        <v>0.5307173433950862</v>
      </c>
    </row>
    <row r="28" spans="1:35" s="26" customFormat="1" ht="15" customHeight="1">
      <c r="A28" s="262">
        <f t="shared" si="23"/>
        <v>0.3300000000000001</v>
      </c>
      <c r="B28" s="271">
        <f t="shared" si="29"/>
        <v>-3.2593075614132343</v>
      </c>
      <c r="C28" s="128">
        <f t="shared" si="30"/>
        <v>0.013319460000000003</v>
      </c>
      <c r="D28" s="143">
        <f t="shared" si="31"/>
        <v>92538.17845395161</v>
      </c>
      <c r="E28" s="143">
        <f t="shared" si="32"/>
        <v>1515.1515151515146</v>
      </c>
      <c r="F28" s="105">
        <f t="shared" si="19"/>
        <v>351.3294543159287</v>
      </c>
      <c r="G28" s="105">
        <f t="shared" si="0"/>
        <v>375.167889710631</v>
      </c>
      <c r="H28" s="50">
        <f t="shared" si="1"/>
        <v>4.2856354229208735</v>
      </c>
      <c r="I28" s="49">
        <f t="shared" si="2"/>
        <v>0.5089754100338763</v>
      </c>
      <c r="J28" s="49">
        <f t="shared" si="24"/>
        <v>-0.021509220205285708</v>
      </c>
      <c r="K28" s="49">
        <f t="shared" si="3"/>
        <v>0.0002616518815723043</v>
      </c>
      <c r="L28" s="49">
        <f t="shared" si="4"/>
        <v>7.361695979924504E-06</v>
      </c>
      <c r="M28" s="49">
        <f t="shared" si="25"/>
        <v>0.0008955990350324453</v>
      </c>
      <c r="N28" s="49">
        <f t="shared" si="20"/>
        <v>0.09850454112479423</v>
      </c>
      <c r="O28" s="49">
        <f t="shared" si="5"/>
        <v>3.4163965570432886E-07</v>
      </c>
      <c r="P28" s="205">
        <f t="shared" si="6"/>
        <v>5.006190046751059</v>
      </c>
      <c r="Q28" s="49">
        <f t="shared" si="7"/>
        <v>0.5</v>
      </c>
      <c r="R28" s="197">
        <f t="shared" si="8"/>
        <v>0.43711011910386244</v>
      </c>
      <c r="S28" s="53">
        <f t="shared" si="26"/>
        <v>5.830233196519043</v>
      </c>
      <c r="T28" s="49">
        <f t="shared" si="9"/>
        <v>2.508975410033876</v>
      </c>
      <c r="U28" s="49">
        <f t="shared" si="10"/>
        <v>5.321257786485166</v>
      </c>
      <c r="V28" s="54">
        <f t="shared" si="11"/>
        <v>0.1697668034809574</v>
      </c>
      <c r="W28" s="97">
        <f t="shared" si="12"/>
        <v>-10.452275575888798</v>
      </c>
      <c r="X28" s="25">
        <f t="shared" si="27"/>
        <v>-0.26330220685475014</v>
      </c>
      <c r="Y28" s="23">
        <f t="shared" si="13"/>
        <v>6.762816496538772</v>
      </c>
      <c r="Z28" s="23">
        <f t="shared" si="14"/>
        <v>1.7566264497877127</v>
      </c>
      <c r="AA28" s="205">
        <f>ERF(AH28)+ERF(AI28)-1</f>
        <v>0.3370741482647892</v>
      </c>
      <c r="AB28" s="52">
        <f t="shared" si="15"/>
        <v>6</v>
      </c>
      <c r="AC28" s="223">
        <f t="shared" si="21"/>
        <v>0.3</v>
      </c>
      <c r="AD28" s="224">
        <f t="shared" si="28"/>
        <v>7.9</v>
      </c>
      <c r="AE28" s="201">
        <f t="shared" si="22"/>
        <v>0</v>
      </c>
      <c r="AF28" s="205">
        <f t="shared" si="16"/>
        <v>0.7125247726635079</v>
      </c>
      <c r="AG28" s="225">
        <f>IF(ABS(AF28)&lt;10,SIGN(AF28)*ERF(ABS(AF28)),SIGN(AF28))</f>
        <v>0.68638307048337</v>
      </c>
      <c r="AH28" s="193">
        <f t="shared" si="17"/>
        <v>0.9057518296570015</v>
      </c>
      <c r="AI28" s="193">
        <f t="shared" si="18"/>
        <v>0.5192977156700143</v>
      </c>
    </row>
    <row r="29" spans="1:35" s="26" customFormat="1" ht="15" customHeight="1">
      <c r="A29" s="262">
        <f t="shared" si="23"/>
        <v>0.34000000000000014</v>
      </c>
      <c r="B29" s="271">
        <f t="shared" si="29"/>
        <v>-3.3580744572136356</v>
      </c>
      <c r="C29" s="128">
        <f t="shared" si="30"/>
        <v>0.013723080000000004</v>
      </c>
      <c r="D29" s="143">
        <f t="shared" si="31"/>
        <v>89816.46732295302</v>
      </c>
      <c r="E29" s="143">
        <f t="shared" si="32"/>
        <v>1470.588235294117</v>
      </c>
      <c r="F29" s="105">
        <f t="shared" si="19"/>
        <v>360.0121675875042</v>
      </c>
      <c r="G29" s="105">
        <f t="shared" si="0"/>
        <v>383.3109975086199</v>
      </c>
      <c r="H29" s="50">
        <f t="shared" si="1"/>
        <v>4.534767428124233</v>
      </c>
      <c r="I29" s="49">
        <f t="shared" si="2"/>
        <v>0.5243989073076301</v>
      </c>
      <c r="J29" s="49">
        <f t="shared" si="24"/>
        <v>-0.022161014756961035</v>
      </c>
      <c r="K29" s="49">
        <f t="shared" si="3"/>
        <v>0.00027774588679536916</v>
      </c>
      <c r="L29" s="49">
        <f t="shared" si="4"/>
        <v>8.295174365979127E-06</v>
      </c>
      <c r="M29" s="49">
        <f t="shared" si="25"/>
        <v>0.0008765728147219257</v>
      </c>
      <c r="N29" s="49">
        <f t="shared" si="20"/>
        <v>0.09636476246596903</v>
      </c>
      <c r="O29" s="49">
        <f t="shared" si="5"/>
        <v>3.7641111508279756E-07</v>
      </c>
      <c r="P29" s="205">
        <f t="shared" si="6"/>
        <v>5.006190046751059</v>
      </c>
      <c r="Q29" s="49">
        <f t="shared" si="7"/>
        <v>0.5</v>
      </c>
      <c r="R29" s="197">
        <f t="shared" si="8"/>
        <v>0.4438639143940897</v>
      </c>
      <c r="S29" s="53">
        <f t="shared" si="26"/>
        <v>6.099403683877402</v>
      </c>
      <c r="T29" s="49">
        <f t="shared" si="9"/>
        <v>2.52439890730763</v>
      </c>
      <c r="U29" s="49">
        <f t="shared" si="10"/>
        <v>5.575004776569772</v>
      </c>
      <c r="V29" s="54">
        <f t="shared" si="11"/>
        <v>-0.0994036838774024</v>
      </c>
      <c r="W29" s="97">
        <f t="shared" si="12"/>
        <v>-10.47445286845278</v>
      </c>
      <c r="X29" s="25">
        <f t="shared" si="27"/>
        <v>-0.27552870603734814</v>
      </c>
      <c r="Y29" s="23">
        <f t="shared" si="13"/>
        <v>6.762816496538772</v>
      </c>
      <c r="Z29" s="23">
        <f t="shared" si="14"/>
        <v>1.7566264497877127</v>
      </c>
      <c r="AA29" s="205">
        <f>ERF(AH29)+ERF(AI29)-1</f>
        <v>0.31778754045031565</v>
      </c>
      <c r="AB29" s="52">
        <f t="shared" si="15"/>
        <v>6</v>
      </c>
      <c r="AC29" s="223">
        <f t="shared" si="21"/>
        <v>0.3</v>
      </c>
      <c r="AD29" s="224">
        <f t="shared" si="28"/>
        <v>7.9</v>
      </c>
      <c r="AE29" s="201">
        <f t="shared" si="22"/>
        <v>0</v>
      </c>
      <c r="AF29" s="205">
        <f t="shared" si="16"/>
        <v>0.6973878053699828</v>
      </c>
      <c r="AG29" s="225">
        <f>IF(ABS(AF29)&lt;10,SIGN(AF29)*ERF(ABS(AF29)),SIGN(AF29))</f>
        <v>0.6759921356798885</v>
      </c>
      <c r="AH29" s="193">
        <f t="shared" si="17"/>
        <v>0.8865099220804866</v>
      </c>
      <c r="AI29" s="193">
        <f t="shared" si="18"/>
        <v>0.5082656886594791</v>
      </c>
    </row>
    <row r="30" spans="1:35" s="20" customFormat="1" ht="15" customHeight="1">
      <c r="A30" s="261">
        <f t="shared" si="23"/>
        <v>0.35000000000000014</v>
      </c>
      <c r="B30" s="270">
        <f t="shared" si="29"/>
        <v>-3.4568413530140365</v>
      </c>
      <c r="C30" s="127">
        <f t="shared" si="30"/>
        <v>0.014126700000000004</v>
      </c>
      <c r="D30" s="142">
        <f t="shared" si="31"/>
        <v>87250.28254229722</v>
      </c>
      <c r="E30" s="142">
        <f t="shared" si="32"/>
        <v>1428.571428571428</v>
      </c>
      <c r="F30" s="104">
        <f t="shared" si="19"/>
        <v>368.7404311508927</v>
      </c>
      <c r="G30" s="104">
        <f t="shared" si="0"/>
        <v>391.52019815757427</v>
      </c>
      <c r="H30" s="98">
        <f t="shared" si="1"/>
        <v>4.795332542174908</v>
      </c>
      <c r="I30" s="95">
        <f t="shared" si="2"/>
        <v>0.5398224045813839</v>
      </c>
      <c r="J30" s="95">
        <f t="shared" si="24"/>
        <v>-0.02281280930863636</v>
      </c>
      <c r="K30" s="95">
        <f t="shared" si="3"/>
        <v>0.00029431983127557433</v>
      </c>
      <c r="L30" s="95">
        <f t="shared" si="4"/>
        <v>9.314711342312325E-06</v>
      </c>
      <c r="M30" s="95">
        <f t="shared" si="25"/>
        <v>0.00085819327222748</v>
      </c>
      <c r="N30" s="95">
        <f t="shared" si="20"/>
        <v>0.09429971258940284</v>
      </c>
      <c r="O30" s="95">
        <f t="shared" si="5"/>
        <v>4.1341908699199514E-07</v>
      </c>
      <c r="P30" s="207">
        <f t="shared" si="6"/>
        <v>5.006190046751059</v>
      </c>
      <c r="Q30" s="95">
        <f t="shared" si="7"/>
        <v>0.5</v>
      </c>
      <c r="R30" s="196">
        <f t="shared" si="8"/>
        <v>0.4518262211176145</v>
      </c>
      <c r="S30" s="96">
        <f t="shared" si="26"/>
        <v>6.381290608593739</v>
      </c>
      <c r="T30" s="95">
        <f t="shared" si="9"/>
        <v>2.539822404581384</v>
      </c>
      <c r="U30" s="95">
        <f t="shared" si="10"/>
        <v>5.841468204012355</v>
      </c>
      <c r="V30" s="100">
        <f t="shared" si="11"/>
        <v>-0.38129060859373887</v>
      </c>
      <c r="W30" s="101">
        <f t="shared" si="12"/>
        <v>-10.497838672450058</v>
      </c>
      <c r="X30" s="27">
        <f t="shared" si="27"/>
        <v>-0.2888319155544914</v>
      </c>
      <c r="Y30" s="18">
        <f t="shared" si="13"/>
        <v>6.762816496538772</v>
      </c>
      <c r="Z30" s="18">
        <f t="shared" si="14"/>
        <v>1.7566264497877127</v>
      </c>
      <c r="AA30" s="207">
        <f>ERF(AH30)+ERF(AI30)-1</f>
        <v>0.2987336351751875</v>
      </c>
      <c r="AB30" s="99">
        <f t="shared" si="15"/>
        <v>6</v>
      </c>
      <c r="AC30" s="226">
        <f t="shared" si="21"/>
        <v>0.3</v>
      </c>
      <c r="AD30" s="227">
        <f t="shared" si="28"/>
        <v>7.9</v>
      </c>
      <c r="AE30" s="228">
        <f t="shared" si="22"/>
        <v>0</v>
      </c>
      <c r="AF30" s="207">
        <f t="shared" si="16"/>
        <v>0.6827653249683153</v>
      </c>
      <c r="AG30" s="229">
        <f>IF(ABS(AF30)&lt;10,SIGN(AF30)*ERF(ABS(AF30)),SIGN(AF30))</f>
        <v>0.6657435933227875</v>
      </c>
      <c r="AH30" s="191">
        <f t="shared" si="17"/>
        <v>0.8679220232648075</v>
      </c>
      <c r="AI30" s="191">
        <f t="shared" si="18"/>
        <v>0.49760862667182304</v>
      </c>
    </row>
    <row r="31" spans="1:35" s="26" customFormat="1" ht="15" customHeight="1">
      <c r="A31" s="262">
        <f t="shared" si="23"/>
        <v>0.36000000000000015</v>
      </c>
      <c r="B31" s="271">
        <f t="shared" si="29"/>
        <v>-3.5556082488144374</v>
      </c>
      <c r="C31" s="128">
        <f t="shared" si="30"/>
        <v>0.014530320000000005</v>
      </c>
      <c r="D31" s="143">
        <f t="shared" si="31"/>
        <v>84826.66358278897</v>
      </c>
      <c r="E31" s="143">
        <f t="shared" si="32"/>
        <v>1388.8888888888882</v>
      </c>
      <c r="F31" s="105">
        <f t="shared" si="19"/>
        <v>377.51108557604914</v>
      </c>
      <c r="G31" s="105">
        <f t="shared" si="0"/>
        <v>399.7914202841365</v>
      </c>
      <c r="H31" s="50">
        <f t="shared" si="1"/>
        <v>5.06829225118101</v>
      </c>
      <c r="I31" s="49">
        <f t="shared" si="2"/>
        <v>0.5552459018551377</v>
      </c>
      <c r="J31" s="49">
        <f t="shared" si="24"/>
        <v>-0.02346460386031168</v>
      </c>
      <c r="K31" s="49">
        <f t="shared" si="3"/>
        <v>0.0003113736727799448</v>
      </c>
      <c r="L31" s="49">
        <f t="shared" si="4"/>
        <v>1.0425436298237037E-05</v>
      </c>
      <c r="M31" s="49">
        <f t="shared" si="25"/>
        <v>0.0008404382459263404</v>
      </c>
      <c r="N31" s="49">
        <f t="shared" si="20"/>
        <v>0.09230669393769339</v>
      </c>
      <c r="O31" s="49">
        <f t="shared" si="5"/>
        <v>4.5272822889186326E-07</v>
      </c>
      <c r="P31" s="205">
        <f t="shared" si="6"/>
        <v>5.006190046751059</v>
      </c>
      <c r="Q31" s="49">
        <f t="shared" si="7"/>
        <v>0.5</v>
      </c>
      <c r="R31" s="197">
        <f t="shared" si="8"/>
        <v>0.4612117898480168</v>
      </c>
      <c r="S31" s="53">
        <f t="shared" si="26"/>
        <v>6.677067514986385</v>
      </c>
      <c r="T31" s="49">
        <f t="shared" si="9"/>
        <v>2.5552459018551374</v>
      </c>
      <c r="U31" s="49">
        <f t="shared" si="10"/>
        <v>6.121821613131248</v>
      </c>
      <c r="V31" s="54">
        <f t="shared" si="11"/>
        <v>-0.6770675149863852</v>
      </c>
      <c r="W31" s="97">
        <f t="shared" si="12"/>
        <v>-10.522647738454214</v>
      </c>
      <c r="X31" s="25">
        <f t="shared" si="27"/>
        <v>-0.30342616662221866</v>
      </c>
      <c r="Y31" s="23">
        <f t="shared" si="13"/>
        <v>6.762816496538772</v>
      </c>
      <c r="Z31" s="23">
        <f t="shared" si="14"/>
        <v>1.7566264497877127</v>
      </c>
      <c r="AA31" s="205">
        <f>ERF(AH31)+ERF(AI31)-1</f>
        <v>0.27993009781195943</v>
      </c>
      <c r="AB31" s="52">
        <f t="shared" si="15"/>
        <v>6</v>
      </c>
      <c r="AC31" s="223">
        <f t="shared" si="21"/>
        <v>0.3</v>
      </c>
      <c r="AD31" s="224">
        <f t="shared" si="28"/>
        <v>7.9</v>
      </c>
      <c r="AE31" s="201">
        <f t="shared" si="22"/>
        <v>0</v>
      </c>
      <c r="AF31" s="205">
        <f t="shared" si="16"/>
        <v>0.6686397000133981</v>
      </c>
      <c r="AG31" s="225">
        <f>IF(ABS(AF31)&lt;10,SIGN(AF31)*ERF(ABS(AF31)),SIGN(AF31))</f>
        <v>0.6556470089157507</v>
      </c>
      <c r="AH31" s="193">
        <f t="shared" si="17"/>
        <v>0.8499657203560145</v>
      </c>
      <c r="AI31" s="193">
        <f t="shared" si="18"/>
        <v>0.4873136796707817</v>
      </c>
    </row>
    <row r="32" spans="1:35" s="26" customFormat="1" ht="15" customHeight="1">
      <c r="A32" s="262">
        <f t="shared" si="23"/>
        <v>0.37000000000000016</v>
      </c>
      <c r="B32" s="271">
        <f t="shared" si="29"/>
        <v>-3.6543751446148387</v>
      </c>
      <c r="C32" s="128">
        <f t="shared" si="30"/>
        <v>0.014933940000000005</v>
      </c>
      <c r="D32" s="143">
        <f t="shared" si="31"/>
        <v>82534.0510535244</v>
      </c>
      <c r="E32" s="143">
        <f t="shared" si="32"/>
        <v>1351.3513513513508</v>
      </c>
      <c r="F32" s="105">
        <f t="shared" si="19"/>
        <v>386.321243673495</v>
      </c>
      <c r="G32" s="105">
        <f t="shared" si="0"/>
        <v>408.12089301264143</v>
      </c>
      <c r="H32" s="50">
        <f t="shared" si="1"/>
        <v>5.354805018092838</v>
      </c>
      <c r="I32" s="49">
        <f t="shared" si="2"/>
        <v>0.5706693991288916</v>
      </c>
      <c r="J32" s="49">
        <f t="shared" si="24"/>
        <v>-0.02411639841198701</v>
      </c>
      <c r="K32" s="49">
        <f t="shared" si="3"/>
        <v>0.0003289073678534712</v>
      </c>
      <c r="L32" s="49">
        <f t="shared" si="4"/>
        <v>1.1632626537792594E-05</v>
      </c>
      <c r="M32" s="49">
        <f t="shared" si="25"/>
        <v>0.0008232854670088955</v>
      </c>
      <c r="N32" s="49">
        <f t="shared" si="20"/>
        <v>0.09038301378479713</v>
      </c>
      <c r="O32" s="49">
        <f t="shared" si="5"/>
        <v>4.944030614489892E-07</v>
      </c>
      <c r="P32" s="205">
        <f t="shared" si="6"/>
        <v>5.006190046751059</v>
      </c>
      <c r="Q32" s="49">
        <f t="shared" si="7"/>
        <v>0.5</v>
      </c>
      <c r="R32" s="197">
        <f t="shared" si="8"/>
        <v>0.4722733838020501</v>
      </c>
      <c r="S32" s="53">
        <f t="shared" si="26"/>
        <v>6.988142941838176</v>
      </c>
      <c r="T32" s="49">
        <f t="shared" si="9"/>
        <v>2.5706693991288914</v>
      </c>
      <c r="U32" s="49">
        <f t="shared" si="10"/>
        <v>6.417473542709285</v>
      </c>
      <c r="V32" s="54">
        <f t="shared" si="11"/>
        <v>-0.9881429418381762</v>
      </c>
      <c r="W32" s="97">
        <f t="shared" si="12"/>
        <v>-10.549132829682001</v>
      </c>
      <c r="X32" s="25">
        <f t="shared" si="27"/>
        <v>-0.3195757696033641</v>
      </c>
      <c r="Y32" s="23">
        <f t="shared" si="13"/>
        <v>6.762816496538772</v>
      </c>
      <c r="Z32" s="23">
        <f t="shared" si="14"/>
        <v>1.7566264497877127</v>
      </c>
      <c r="AA32" s="205">
        <f>ERF(AH32)+ERF(AI32)-1</f>
        <v>0.26139192061706806</v>
      </c>
      <c r="AB32" s="52">
        <f t="shared" si="15"/>
        <v>6</v>
      </c>
      <c r="AC32" s="223">
        <f t="shared" si="21"/>
        <v>0.3</v>
      </c>
      <c r="AD32" s="224">
        <f t="shared" si="28"/>
        <v>7.9</v>
      </c>
      <c r="AE32" s="201">
        <f t="shared" si="22"/>
        <v>0</v>
      </c>
      <c r="AF32" s="205">
        <f t="shared" si="16"/>
        <v>0.6549932137839249</v>
      </c>
      <c r="AG32" s="225">
        <f>IF(ABS(AF32)&lt;10,SIGN(AF32)*ERF(ABS(AF32)),SIGN(AF32))</f>
        <v>0.6457100484254735</v>
      </c>
      <c r="AH32" s="193">
        <f t="shared" si="17"/>
        <v>0.8326184920982096</v>
      </c>
      <c r="AI32" s="193">
        <f t="shared" si="18"/>
        <v>0.47736793546964024</v>
      </c>
    </row>
    <row r="33" spans="1:35" s="26" customFormat="1" ht="15" customHeight="1">
      <c r="A33" s="262">
        <f t="shared" si="23"/>
        <v>0.38000000000000017</v>
      </c>
      <c r="B33" s="271">
        <f t="shared" si="29"/>
        <v>-3.7531420404152396</v>
      </c>
      <c r="C33" s="128">
        <f t="shared" si="30"/>
        <v>0.015337560000000005</v>
      </c>
      <c r="D33" s="143">
        <f t="shared" si="31"/>
        <v>80362.10234158955</v>
      </c>
      <c r="E33" s="143">
        <f t="shared" si="32"/>
        <v>1315.78947368421</v>
      </c>
      <c r="F33" s="105">
        <f t="shared" si="19"/>
        <v>395.16826328443005</v>
      </c>
      <c r="G33" s="105">
        <f t="shared" si="0"/>
        <v>416.5051215858367</v>
      </c>
      <c r="H33" s="50">
        <f t="shared" si="1"/>
        <v>5.656262783668659</v>
      </c>
      <c r="I33" s="49">
        <f t="shared" si="2"/>
        <v>0.5860928964026454</v>
      </c>
      <c r="J33" s="49">
        <f t="shared" si="24"/>
        <v>-0.024768192963662332</v>
      </c>
      <c r="K33" s="49">
        <f t="shared" si="3"/>
        <v>0.0003469208718193609</v>
      </c>
      <c r="L33" s="49">
        <f t="shared" si="4"/>
        <v>1.29417072060902E-05</v>
      </c>
      <c r="M33" s="49">
        <f t="shared" si="25"/>
        <v>0.0008067127691507976</v>
      </c>
      <c r="N33" s="49">
        <f t="shared" si="20"/>
        <v>0.08852600687724381</v>
      </c>
      <c r="O33" s="49">
        <f t="shared" si="5"/>
        <v>5.385079919623115E-07</v>
      </c>
      <c r="P33" s="205">
        <f t="shared" si="6"/>
        <v>5.006190046751059</v>
      </c>
      <c r="Q33" s="49">
        <f t="shared" si="7"/>
        <v>0.5</v>
      </c>
      <c r="R33" s="197">
        <f t="shared" si="8"/>
        <v>0.48532388702936746</v>
      </c>
      <c r="S33" s="53">
        <f t="shared" si="26"/>
        <v>7.316219054193113</v>
      </c>
      <c r="T33" s="49">
        <f t="shared" si="9"/>
        <v>2.5860928964026453</v>
      </c>
      <c r="U33" s="49">
        <f t="shared" si="10"/>
        <v>6.730126157790468</v>
      </c>
      <c r="V33" s="54">
        <f t="shared" si="11"/>
        <v>-1.3162190541931134</v>
      </c>
      <c r="W33" s="97">
        <f t="shared" si="12"/>
        <v>-10.577606830183072</v>
      </c>
      <c r="X33" s="25">
        <f t="shared" si="27"/>
        <v>-0.3376108720317412</v>
      </c>
      <c r="Y33" s="23">
        <f t="shared" si="13"/>
        <v>6.762816496538772</v>
      </c>
      <c r="Z33" s="23">
        <f t="shared" si="14"/>
        <v>1.7566264497877127</v>
      </c>
      <c r="AA33" s="205">
        <f>ERF(AH33)+ERF(AI33)-1</f>
        <v>0.24313155791886</v>
      </c>
      <c r="AB33" s="52">
        <f t="shared" si="15"/>
        <v>6</v>
      </c>
      <c r="AC33" s="223">
        <f t="shared" si="21"/>
        <v>0.3</v>
      </c>
      <c r="AD33" s="224">
        <f t="shared" si="28"/>
        <v>7.9</v>
      </c>
      <c r="AE33" s="201">
        <f t="shared" si="22"/>
        <v>0</v>
      </c>
      <c r="AF33" s="205">
        <f t="shared" si="16"/>
        <v>0.6418082310942836</v>
      </c>
      <c r="AG33" s="225">
        <f>IF(ABS(AF33)&lt;10,SIGN(AF33)*ERF(ABS(AF33)),SIGN(AF33))</f>
        <v>0.6359388920568729</v>
      </c>
      <c r="AH33" s="193">
        <f t="shared" si="17"/>
        <v>0.8158579208825639</v>
      </c>
      <c r="AI33" s="193">
        <f t="shared" si="18"/>
        <v>0.46775854130600336</v>
      </c>
    </row>
    <row r="34" spans="1:35" s="26" customFormat="1" ht="15" customHeight="1">
      <c r="A34" s="262">
        <f t="shared" si="23"/>
        <v>0.3900000000000002</v>
      </c>
      <c r="B34" s="271">
        <f t="shared" si="29"/>
        <v>-3.851908936215641</v>
      </c>
      <c r="C34" s="128">
        <f t="shared" si="30"/>
        <v>0.015741180000000004</v>
      </c>
      <c r="D34" s="143">
        <f t="shared" si="31"/>
        <v>78301.53561488212</v>
      </c>
      <c r="E34" s="143">
        <f t="shared" si="32"/>
        <v>1282.0512820512815</v>
      </c>
      <c r="F34" s="105">
        <f t="shared" si="19"/>
        <v>404.0497230715512</v>
      </c>
      <c r="G34" s="105">
        <f t="shared" si="0"/>
        <v>424.94086496146406</v>
      </c>
      <c r="H34" s="50">
        <f t="shared" si="1"/>
        <v>5.974346779041561</v>
      </c>
      <c r="I34" s="49">
        <f t="shared" si="2"/>
        <v>0.6015163936763992</v>
      </c>
      <c r="J34" s="49">
        <f t="shared" si="24"/>
        <v>-0.025419987515337656</v>
      </c>
      <c r="K34" s="49">
        <f t="shared" si="3"/>
        <v>0.00036541413877922693</v>
      </c>
      <c r="L34" s="49">
        <f t="shared" si="4"/>
        <v>1.435825123097246E-05</v>
      </c>
      <c r="M34" s="49">
        <f>$P$5*10^9*($J$5/G34)*10^($B$8/10)</f>
        <v>0.0007906982540511143</v>
      </c>
      <c r="N34" s="49">
        <f t="shared" si="20"/>
        <v>0.08673305305403313</v>
      </c>
      <c r="O34" s="49">
        <f t="shared" si="5"/>
        <v>5.851073238555271E-07</v>
      </c>
      <c r="P34" s="205">
        <f t="shared" si="6"/>
        <v>5.006190046751059</v>
      </c>
      <c r="Q34" s="49">
        <f t="shared" si="7"/>
        <v>0.5</v>
      </c>
      <c r="R34" s="197">
        <f t="shared" si="8"/>
        <v>0.5007535167711117</v>
      </c>
      <c r="S34" s="53">
        <f t="shared" si="26"/>
        <v>7.663364685901659</v>
      </c>
      <c r="T34" s="49">
        <f t="shared" si="9"/>
        <v>2.601516393676399</v>
      </c>
      <c r="U34" s="49">
        <f t="shared" si="10"/>
        <v>7.0618482922252594</v>
      </c>
      <c r="V34" s="54">
        <f t="shared" si="11"/>
        <v>-1.6633646859016586</v>
      </c>
      <c r="W34" s="97">
        <f t="shared" si="12"/>
        <v>-10.60845995719857</v>
      </c>
      <c r="X34" s="25">
        <f t="shared" si="27"/>
        <v>-0.35795269408639063</v>
      </c>
      <c r="Y34" s="23">
        <f t="shared" si="13"/>
        <v>6.762816496538772</v>
      </c>
      <c r="Z34" s="23">
        <f t="shared" si="14"/>
        <v>1.7566264497877127</v>
      </c>
      <c r="AA34" s="205">
        <f>ERF(AH34)+ERF(AI34)-1</f>
        <v>0.22515934179261454</v>
      </c>
      <c r="AB34" s="52">
        <f t="shared" si="15"/>
        <v>6</v>
      </c>
      <c r="AC34" s="223">
        <f t="shared" si="21"/>
        <v>0.3</v>
      </c>
      <c r="AD34" s="224">
        <f t="shared" si="28"/>
        <v>7.9</v>
      </c>
      <c r="AE34" s="201">
        <f t="shared" si="22"/>
        <v>0</v>
      </c>
      <c r="AF34" s="205">
        <f t="shared" si="16"/>
        <v>0.629067329994156</v>
      </c>
      <c r="AG34" s="225">
        <f>IF(ABS(AF34)&lt;10,SIGN(AF34)*ERF(ABS(AF34)),SIGN(AF34))</f>
        <v>0.6263383865944068</v>
      </c>
      <c r="AH34" s="193">
        <f t="shared" si="17"/>
        <v>0.7996618601620626</v>
      </c>
      <c r="AI34" s="193">
        <f t="shared" si="18"/>
        <v>0.45847279982624933</v>
      </c>
    </row>
    <row r="35" spans="1:35" s="78" customFormat="1" ht="15" customHeight="1">
      <c r="A35" s="263">
        <f t="shared" si="23"/>
        <v>0.4000000000000002</v>
      </c>
      <c r="B35" s="272">
        <f>A35*$B$3</f>
        <v>-3.9506758320160418</v>
      </c>
      <c r="C35" s="129">
        <f>A35*$Z$4</f>
        <v>0.016144800000000004</v>
      </c>
      <c r="D35" s="144">
        <f t="shared" si="31"/>
        <v>76343.99722451007</v>
      </c>
      <c r="E35" s="144">
        <f>$E$7/A35</f>
        <v>1249.9999999999993</v>
      </c>
      <c r="F35" s="106">
        <f t="shared" si="19"/>
        <v>412.96340096227635</v>
      </c>
      <c r="G35" s="106">
        <f t="shared" si="0"/>
        <v>433.4251152555997</v>
      </c>
      <c r="H35" s="75">
        <f t="shared" si="1"/>
        <v>6.3111021299588135</v>
      </c>
      <c r="I35" s="74">
        <f t="shared" si="2"/>
        <v>0.616939890950153</v>
      </c>
      <c r="J35" s="74">
        <f t="shared" si="24"/>
        <v>-0.02607178206701298</v>
      </c>
      <c r="K35" s="74">
        <f t="shared" si="3"/>
        <v>0.0003843871216131499</v>
      </c>
      <c r="L35" s="74">
        <f t="shared" si="4"/>
        <v>1.5887979252979478E-05</v>
      </c>
      <c r="M35" s="74">
        <f>$P$5*10^9*($J$5/G35)*10^($B$8/10)</f>
        <v>0.000775220420260727</v>
      </c>
      <c r="N35" s="74">
        <f t="shared" si="20"/>
        <v>0.08500159071679744</v>
      </c>
      <c r="O35" s="74">
        <f t="shared" si="5"/>
        <v>6.342652828089657E-07</v>
      </c>
      <c r="P35" s="155">
        <f t="shared" si="6"/>
        <v>5.006190046751059</v>
      </c>
      <c r="Q35" s="74">
        <f t="shared" si="7"/>
        <v>0.5</v>
      </c>
      <c r="R35" s="195">
        <f t="shared" si="8"/>
        <v>0.5190643084955937</v>
      </c>
      <c r="S35" s="96">
        <f t="shared" si="26"/>
        <v>8.032124442365895</v>
      </c>
      <c r="T35" s="74">
        <f t="shared" si="9"/>
        <v>2.616939890950153</v>
      </c>
      <c r="U35" s="74">
        <f t="shared" si="10"/>
        <v>7.4151845514157415</v>
      </c>
      <c r="V35" s="100">
        <f t="shared" si="11"/>
        <v>-2.0321244423658946</v>
      </c>
      <c r="W35" s="101">
        <f t="shared" si="12"/>
        <v>-10.642194246196805</v>
      </c>
      <c r="X35" s="77"/>
      <c r="Y35" s="74">
        <f t="shared" si="13"/>
        <v>6.762816496538772</v>
      </c>
      <c r="Z35" s="74">
        <f t="shared" si="14"/>
        <v>1.7566264497877127</v>
      </c>
      <c r="AA35" s="155">
        <f>ERF(AH35)+ERF(AI35)-1</f>
        <v>0.20748340002618848</v>
      </c>
      <c r="AB35" s="76">
        <f t="shared" si="15"/>
        <v>6</v>
      </c>
      <c r="AC35" s="186">
        <f t="shared" si="21"/>
        <v>0.3</v>
      </c>
      <c r="AD35" s="187">
        <f>ROUNDUP(E10,0)-0.1</f>
        <v>7.9</v>
      </c>
      <c r="AE35" s="200">
        <f t="shared" si="22"/>
        <v>0</v>
      </c>
      <c r="AF35" s="155">
        <f t="shared" si="16"/>
        <v>0.6167534042624028</v>
      </c>
      <c r="AG35" s="179">
        <f>IF(ABS(AF35)&lt;10,SIGN(AF35)*ERF(ABS(AF35)),SIGN(AF35))</f>
        <v>0.6169121888004897</v>
      </c>
      <c r="AH35" s="190">
        <f t="shared" si="17"/>
        <v>0.7840085647403424</v>
      </c>
      <c r="AI35" s="190">
        <f t="shared" si="18"/>
        <v>0.44949824378446307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5"/>
      <c r="S36" s="13"/>
      <c r="U36" s="13"/>
      <c r="V36" s="13"/>
      <c r="W36" s="14"/>
      <c r="AA36" s="5"/>
      <c r="AB36" s="6"/>
      <c r="AE36" s="201">
        <f>SUM(AE15:AE35)</f>
        <v>0.9100191966223123</v>
      </c>
    </row>
    <row r="37" spans="1:27" s="26" customFormat="1" ht="15" customHeight="1">
      <c r="A37" s="79" t="s">
        <v>60</v>
      </c>
      <c r="B37" s="22"/>
      <c r="C37" s="22"/>
      <c r="D37" s="21"/>
      <c r="E37" s="22"/>
      <c r="F37" s="22"/>
      <c r="G37" s="28"/>
      <c r="W37" s="31"/>
      <c r="X37" s="31"/>
      <c r="AA37" s="158"/>
    </row>
    <row r="38" spans="1:28" s="26" customFormat="1" ht="15" customHeight="1">
      <c r="A38" s="29" t="s">
        <v>108</v>
      </c>
      <c r="B38" s="22"/>
      <c r="C38" s="22"/>
      <c r="D38" s="21"/>
      <c r="E38" s="22"/>
      <c r="F38" s="22"/>
      <c r="G38" s="28"/>
      <c r="K38" s="23"/>
      <c r="L38" s="22"/>
      <c r="M38" s="23"/>
      <c r="N38" s="23"/>
      <c r="O38" s="23"/>
      <c r="P38" s="23"/>
      <c r="Q38" s="23"/>
      <c r="R38" s="59"/>
      <c r="S38" s="23"/>
      <c r="T38" s="30"/>
      <c r="U38" s="23"/>
      <c r="W38" s="31"/>
      <c r="X38" s="31"/>
      <c r="AA38" s="158"/>
      <c r="AB38" s="24"/>
    </row>
    <row r="39" spans="1:28" s="26" customFormat="1" ht="15" customHeight="1">
      <c r="A39" s="23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22"/>
      <c r="M39" s="23"/>
      <c r="N39" s="23"/>
      <c r="O39" s="23"/>
      <c r="P39" s="23"/>
      <c r="Q39" s="23"/>
      <c r="R39" s="59"/>
      <c r="S39" s="23"/>
      <c r="T39" s="30"/>
      <c r="U39" s="23"/>
      <c r="W39" s="31"/>
      <c r="X39" s="31"/>
      <c r="AA39" s="158"/>
      <c r="AB39" s="24"/>
    </row>
    <row r="40" spans="1:28" s="26" customFormat="1" ht="15" customHeight="1">
      <c r="A40" s="29"/>
      <c r="B40" s="29"/>
      <c r="C40" s="22"/>
      <c r="D40" s="21"/>
      <c r="E40" s="22"/>
      <c r="F40" s="22"/>
      <c r="G40" s="28"/>
      <c r="H40" s="23"/>
      <c r="I40" s="23"/>
      <c r="J40" s="23"/>
      <c r="K40" s="23"/>
      <c r="L40" s="22"/>
      <c r="M40" s="23"/>
      <c r="N40" s="23"/>
      <c r="O40" s="23"/>
      <c r="P40" s="23"/>
      <c r="Q40" s="23"/>
      <c r="R40" s="59"/>
      <c r="S40" s="23"/>
      <c r="T40" s="30"/>
      <c r="U40" s="23"/>
      <c r="W40" s="31"/>
      <c r="X40" s="31"/>
      <c r="AA40" s="158"/>
      <c r="AB40" s="24"/>
    </row>
    <row r="41" spans="1:28" s="26" customFormat="1" ht="15" customHeight="1">
      <c r="A41" s="29"/>
      <c r="B41" s="29"/>
      <c r="C41" s="22"/>
      <c r="D41" s="21"/>
      <c r="E41" s="22"/>
      <c r="F41" s="22"/>
      <c r="G41" s="28"/>
      <c r="H41" s="23"/>
      <c r="I41" s="23"/>
      <c r="J41" s="23"/>
      <c r="K41" s="23"/>
      <c r="L41" s="22"/>
      <c r="M41" s="23"/>
      <c r="N41" s="23"/>
      <c r="O41" s="23"/>
      <c r="P41" s="23"/>
      <c r="Q41" s="23"/>
      <c r="R41" s="59"/>
      <c r="S41" s="23"/>
      <c r="T41" s="30"/>
      <c r="U41" s="23"/>
      <c r="W41" s="31"/>
      <c r="X41" s="31"/>
      <c r="AA41" s="158"/>
      <c r="AB41" s="24"/>
    </row>
    <row r="42" spans="1:28" s="26" customFormat="1" ht="15" customHeight="1">
      <c r="A42" s="29"/>
      <c r="B42" s="29"/>
      <c r="C42" s="22"/>
      <c r="D42" s="21"/>
      <c r="E42" s="22"/>
      <c r="F42" s="22"/>
      <c r="G42" s="28"/>
      <c r="H42" s="23"/>
      <c r="I42" s="23"/>
      <c r="J42" s="23"/>
      <c r="K42" s="23"/>
      <c r="L42" s="22"/>
      <c r="M42" s="23"/>
      <c r="N42" s="23"/>
      <c r="O42" s="23"/>
      <c r="P42" s="23"/>
      <c r="Q42" s="23"/>
      <c r="R42" s="59"/>
      <c r="S42" s="23"/>
      <c r="T42" s="30"/>
      <c r="U42" s="23"/>
      <c r="W42" s="31"/>
      <c r="X42" s="31"/>
      <c r="AA42" s="158"/>
      <c r="AB42" s="24"/>
    </row>
    <row r="43" spans="1:28" s="26" customFormat="1" ht="15" customHeight="1">
      <c r="A43" s="28"/>
      <c r="D43" s="21"/>
      <c r="E43" s="22"/>
      <c r="F43" s="22"/>
      <c r="G43" s="28"/>
      <c r="H43" s="23"/>
      <c r="I43" s="23"/>
      <c r="J43" s="23"/>
      <c r="K43" s="23"/>
      <c r="L43" s="22"/>
      <c r="M43" s="23"/>
      <c r="N43" s="23"/>
      <c r="O43" s="23"/>
      <c r="P43" s="23"/>
      <c r="Q43" s="23"/>
      <c r="R43" s="59"/>
      <c r="S43" s="23"/>
      <c r="T43" s="30"/>
      <c r="U43" s="23"/>
      <c r="W43" s="31"/>
      <c r="X43" s="31"/>
      <c r="AA43" s="158"/>
      <c r="AB43" s="24"/>
    </row>
    <row r="44" spans="1:28" s="26" customFormat="1" ht="15" customHeight="1">
      <c r="A44" s="28"/>
      <c r="B44" s="22"/>
      <c r="D44" s="21"/>
      <c r="E44" s="22"/>
      <c r="F44" s="22"/>
      <c r="G44" s="28"/>
      <c r="H44" s="23"/>
      <c r="I44" s="23"/>
      <c r="J44" s="23"/>
      <c r="K44" s="23"/>
      <c r="L44" s="22"/>
      <c r="M44" s="23"/>
      <c r="N44" s="23"/>
      <c r="O44" s="23"/>
      <c r="P44" s="23"/>
      <c r="Q44" s="23"/>
      <c r="R44" s="59"/>
      <c r="S44" s="23"/>
      <c r="T44" s="30"/>
      <c r="U44" s="23"/>
      <c r="W44" s="31"/>
      <c r="X44" s="31"/>
      <c r="AA44" s="158"/>
      <c r="AB44" s="24"/>
    </row>
    <row r="45" spans="1:28" s="26" customFormat="1" ht="15" customHeight="1">
      <c r="A45" s="28"/>
      <c r="B45" s="22"/>
      <c r="D45" s="21"/>
      <c r="E45" s="22"/>
      <c r="F45" s="22"/>
      <c r="G45" s="28"/>
      <c r="H45" s="23"/>
      <c r="I45" s="23"/>
      <c r="J45" s="23"/>
      <c r="K45" s="23"/>
      <c r="L45" s="22"/>
      <c r="M45" s="23"/>
      <c r="N45" s="23"/>
      <c r="O45" s="23"/>
      <c r="P45" s="23"/>
      <c r="Q45" s="23"/>
      <c r="R45" s="59"/>
      <c r="S45" s="23"/>
      <c r="T45" s="30"/>
      <c r="U45" s="23"/>
      <c r="W45" s="31"/>
      <c r="X45" s="31"/>
      <c r="AA45" s="158"/>
      <c r="AB45" s="24"/>
    </row>
    <row r="46" spans="1:28" ht="15" customHeight="1">
      <c r="A46" s="28"/>
      <c r="B46" s="22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5"/>
      <c r="S46" s="4"/>
      <c r="U46" s="4"/>
      <c r="AB46" s="6"/>
    </row>
    <row r="47" spans="1:28" ht="15" customHeight="1">
      <c r="A47" s="2"/>
      <c r="B47" s="22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5"/>
      <c r="S47" s="4"/>
      <c r="U47" s="4"/>
      <c r="AB47" s="6"/>
    </row>
    <row r="48" spans="1:28" ht="15" customHeight="1">
      <c r="A48" s="2"/>
      <c r="B48" s="22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0"/>
      <c r="S48" s="4"/>
      <c r="U48" s="4"/>
      <c r="AB48" s="6"/>
    </row>
    <row r="49" spans="1:28" ht="15" customHeight="1">
      <c r="A49" s="24"/>
      <c r="B49" s="22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5"/>
      <c r="S49" s="4"/>
      <c r="U49" s="4"/>
      <c r="AB49" s="6"/>
    </row>
    <row r="50" spans="1:16" ht="15" customHeight="1">
      <c r="A50" s="15"/>
      <c r="B50" s="14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4"/>
      <c r="B51" s="14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4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V2:W2"/>
  </mergeCells>
  <printOptions horizontalCentered="1"/>
  <pageMargins left="0.5" right="0.5" top="0.5" bottom="0.6" header="0.3" footer="0.4"/>
  <pageSetup fitToHeight="1" fitToWidth="1" horizontalDpi="600" verticalDpi="600" orientation="landscape" scale="69" r:id="rId2"/>
  <headerFooter alignWithMargins="0">
    <oddHeader xml:space="preserve">&amp;CSpreadsheet by Agilent Technologies&amp;R </oddHeader>
    <oddFooter>&amp;L&amp;F tab &amp;A page &amp;P of &amp;N&amp;RPrinted &amp;T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showGridLines="0" showOutlineSymbols="0" zoomScale="70" zoomScaleNormal="70" workbookViewId="0" topLeftCell="A1">
      <selection activeCell="T1" sqref="T1"/>
    </sheetView>
  </sheetViews>
  <sheetFormatPr defaultColWidth="9.140625" defaultRowHeight="12.75"/>
  <cols>
    <col min="1" max="1" width="13.28125" style="5" customWidth="1"/>
    <col min="2" max="2" width="7.7109375" style="5" customWidth="1"/>
    <col min="3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6" customWidth="1"/>
    <col min="19" max="19" width="6.57421875" style="5" customWidth="1"/>
    <col min="20" max="20" width="7.28125" style="7" customWidth="1"/>
    <col min="21" max="21" width="7.421875" style="5" customWidth="1"/>
    <col min="22" max="22" width="7.7109375" style="5" customWidth="1"/>
    <col min="23" max="23" width="11.140625" style="10" customWidth="1"/>
    <col min="24" max="24" width="8.8515625" style="10" customWidth="1"/>
    <col min="25" max="25" width="8.140625" style="5" customWidth="1"/>
    <col min="26" max="26" width="7.57421875" style="5" customWidth="1"/>
    <col min="27" max="27" width="10.00390625" style="157" customWidth="1"/>
    <col min="28" max="28" width="6.00390625" style="5" customWidth="1"/>
    <col min="29" max="30" width="7.00390625" style="5" customWidth="1"/>
    <col min="31" max="32" width="10.00390625" style="5" customWidth="1"/>
    <col min="33" max="16384" width="11.140625" style="5" customWidth="1"/>
  </cols>
  <sheetData>
    <row r="1" spans="1:32" s="126" customFormat="1" ht="15">
      <c r="A1" s="123" t="s">
        <v>109</v>
      </c>
      <c r="B1" s="110"/>
      <c r="C1" s="110"/>
      <c r="D1" s="110"/>
      <c r="E1" s="114"/>
      <c r="F1" s="114"/>
      <c r="G1" s="114"/>
      <c r="H1" s="114"/>
      <c r="I1" s="114"/>
      <c r="J1" s="114"/>
      <c r="K1" s="114"/>
      <c r="L1" s="124" t="s">
        <v>66</v>
      </c>
      <c r="M1" s="110" t="s">
        <v>50</v>
      </c>
      <c r="N1" s="114"/>
      <c r="O1" s="131" t="s">
        <v>47</v>
      </c>
      <c r="P1" s="277" t="s">
        <v>1</v>
      </c>
      <c r="Q1" s="276" t="str">
        <f>Notes!G1</f>
        <v>1.0.0</v>
      </c>
      <c r="R1" s="217"/>
      <c r="S1" s="222" t="s">
        <v>130</v>
      </c>
      <c r="T1" s="221" t="str">
        <f>Notes!A1</f>
        <v>10GEPBud2_4_1.xls</v>
      </c>
      <c r="U1" s="217"/>
      <c r="V1" s="214"/>
      <c r="W1" s="241">
        <f>Notes!E1</f>
        <v>36879</v>
      </c>
      <c r="AB1" s="217"/>
      <c r="AC1" s="51"/>
      <c r="AD1" s="51"/>
      <c r="AE1" s="51"/>
      <c r="AF1" s="51"/>
    </row>
    <row r="2" spans="1:32" ht="15.75">
      <c r="A2" s="62" t="s">
        <v>2</v>
      </c>
      <c r="B2" s="118" t="s">
        <v>3</v>
      </c>
      <c r="C2" s="73"/>
      <c r="D2" s="65">
        <f>IF(O1="SMF","PolMD DGDmax","")</f>
      </c>
      <c r="E2" s="238"/>
      <c r="F2" s="73">
        <f>IF(O1="SMF","ps at target "&amp;J2&amp;K2,"")</f>
      </c>
      <c r="G2" s="62"/>
      <c r="H2" s="61"/>
      <c r="I2" s="65" t="s">
        <v>92</v>
      </c>
      <c r="J2" s="130">
        <v>0.3</v>
      </c>
      <c r="K2" s="61" t="s">
        <v>93</v>
      </c>
      <c r="L2" s="61"/>
      <c r="M2" s="73"/>
      <c r="N2" s="61"/>
      <c r="O2" s="62" t="s">
        <v>98</v>
      </c>
      <c r="P2" s="139">
        <f>1000000/$P$6</f>
        <v>295</v>
      </c>
      <c r="Q2" s="61" t="s">
        <v>87</v>
      </c>
      <c r="R2" s="274"/>
      <c r="S2" s="275" t="s">
        <v>232</v>
      </c>
      <c r="T2" s="278" t="str">
        <f>Notes!F16</f>
        <v>2.4.1</v>
      </c>
      <c r="U2" s="279" t="s">
        <v>229</v>
      </c>
      <c r="V2" s="283">
        <f>Notes!D16</f>
        <v>36881</v>
      </c>
      <c r="W2" s="284"/>
      <c r="X2" s="6"/>
      <c r="Y2" s="243" t="s">
        <v>154</v>
      </c>
      <c r="Z2" s="244">
        <f>10^(B6/10)</f>
        <v>1.5339746133336245</v>
      </c>
      <c r="AA2" s="245" t="s">
        <v>153</v>
      </c>
      <c r="AB2" s="66"/>
      <c r="AC2" s="1"/>
      <c r="AD2" s="1"/>
      <c r="AE2" s="1"/>
      <c r="AF2" s="1"/>
    </row>
    <row r="3" spans="1:32" ht="15" customHeight="1">
      <c r="A3" s="62" t="s">
        <v>214</v>
      </c>
      <c r="B3" s="67">
        <f>0.25*$E$4*$B$4*(1-($E$5/$B$4)^4)</f>
        <v>-5.833412074304454</v>
      </c>
      <c r="C3" s="66" t="s">
        <v>213</v>
      </c>
      <c r="D3" s="65" t="s">
        <v>144</v>
      </c>
      <c r="E3" s="145">
        <v>500</v>
      </c>
      <c r="F3" s="61" t="s">
        <v>143</v>
      </c>
      <c r="G3" s="61"/>
      <c r="H3" s="73"/>
      <c r="I3" s="62" t="s">
        <v>95</v>
      </c>
      <c r="J3" s="117">
        <v>0.2</v>
      </c>
      <c r="K3" s="73" t="s">
        <v>93</v>
      </c>
      <c r="L3" s="61"/>
      <c r="M3" s="73"/>
      <c r="N3" s="61"/>
      <c r="O3" s="62" t="s">
        <v>4</v>
      </c>
      <c r="P3" s="49">
        <f>IF($B$4&gt;1000,$E$6/1.5,$E$6/3.5)</f>
        <v>1</v>
      </c>
      <c r="Q3" s="61"/>
      <c r="R3" s="80"/>
      <c r="S3" s="243" t="s">
        <v>207</v>
      </c>
      <c r="T3" s="244">
        <f>10*LOG10(Z3)</f>
        <v>6.762816496538772</v>
      </c>
      <c r="U3" s="246" t="s">
        <v>155</v>
      </c>
      <c r="V3" s="73"/>
      <c r="W3" s="66"/>
      <c r="X3" s="6"/>
      <c r="Y3" s="243" t="s">
        <v>152</v>
      </c>
      <c r="Z3" s="244">
        <f>(Z2+1)/(Z2-1)</f>
        <v>4.745496415108429</v>
      </c>
      <c r="AA3" s="245" t="s">
        <v>153</v>
      </c>
      <c r="AB3" s="82"/>
      <c r="AC3" s="1"/>
      <c r="AD3" s="1"/>
      <c r="AE3" s="1"/>
      <c r="AF3" s="1"/>
    </row>
    <row r="4" spans="1:32" ht="15" customHeight="1">
      <c r="A4" s="62" t="s">
        <v>48</v>
      </c>
      <c r="B4" s="84">
        <v>1270</v>
      </c>
      <c r="C4" s="73"/>
      <c r="D4" s="65" t="s">
        <v>7</v>
      </c>
      <c r="E4" s="81">
        <v>0.11</v>
      </c>
      <c r="F4" s="61"/>
      <c r="G4" s="61"/>
      <c r="H4" s="73"/>
      <c r="I4" s="62" t="s">
        <v>96</v>
      </c>
      <c r="J4" s="149">
        <f>10^(INT(LOG10(J3/9)))</f>
        <v>0.01</v>
      </c>
      <c r="K4" s="61" t="s">
        <v>93</v>
      </c>
      <c r="L4" s="61"/>
      <c r="M4" s="61"/>
      <c r="N4" s="61"/>
      <c r="O4" s="62" t="s">
        <v>5</v>
      </c>
      <c r="P4" s="139">
        <f>B7*1.518</f>
        <v>151.8</v>
      </c>
      <c r="Q4" s="73" t="s">
        <v>87</v>
      </c>
      <c r="R4" s="85"/>
      <c r="S4" s="2" t="s">
        <v>208</v>
      </c>
      <c r="T4" s="4">
        <f>10*LOG10((1+10^(-($J$10/10)))/(1-10^(-($J$10/10))))</f>
        <v>1.7566264497877127</v>
      </c>
      <c r="U4" s="246" t="s">
        <v>155</v>
      </c>
      <c r="V4" s="73"/>
      <c r="W4" s="66"/>
      <c r="X4" s="6"/>
      <c r="Y4" s="248" t="s">
        <v>31</v>
      </c>
      <c r="Z4" s="5">
        <f>0.7*$E$4*$B$5</f>
        <v>0.04774</v>
      </c>
      <c r="AA4" s="66" t="s">
        <v>213</v>
      </c>
      <c r="AB4" s="83"/>
      <c r="AC4" s="1"/>
      <c r="AD4" s="1"/>
      <c r="AE4" s="1"/>
      <c r="AF4" s="1"/>
    </row>
    <row r="5" spans="1:32" ht="15" customHeight="1">
      <c r="A5" s="62" t="s">
        <v>6</v>
      </c>
      <c r="B5" s="86">
        <v>0.62</v>
      </c>
      <c r="C5" s="73"/>
      <c r="D5" s="65" t="s">
        <v>49</v>
      </c>
      <c r="E5" s="81">
        <v>1320</v>
      </c>
      <c r="F5" s="61"/>
      <c r="G5" s="61"/>
      <c r="H5" s="73"/>
      <c r="I5" s="62" t="s">
        <v>9</v>
      </c>
      <c r="J5" s="87">
        <v>480</v>
      </c>
      <c r="K5" s="61" t="s">
        <v>91</v>
      </c>
      <c r="L5" s="73"/>
      <c r="M5" s="67"/>
      <c r="N5" s="61"/>
      <c r="O5" s="62" t="s">
        <v>8</v>
      </c>
      <c r="P5" s="95">
        <v>0.7</v>
      </c>
      <c r="Q5" s="61"/>
      <c r="R5" s="85"/>
      <c r="S5" s="248" t="s">
        <v>163</v>
      </c>
      <c r="T5" s="249">
        <f>T3-T4</f>
        <v>5.006190046751059</v>
      </c>
      <c r="U5" s="246" t="s">
        <v>155</v>
      </c>
      <c r="V5" s="73"/>
      <c r="W5" s="66"/>
      <c r="X5" s="6"/>
      <c r="AB5" s="83"/>
      <c r="AC5" s="1"/>
      <c r="AD5" s="1"/>
      <c r="AE5" s="1"/>
      <c r="AF5" s="1"/>
    </row>
    <row r="6" spans="1:32" ht="15" customHeight="1">
      <c r="A6" s="62" t="s">
        <v>223</v>
      </c>
      <c r="B6" s="70">
        <f>10*LOG10((2*AE7+K9)/(2*AE7-K9))</f>
        <v>1.8581817227244557</v>
      </c>
      <c r="C6" s="73" t="s">
        <v>54</v>
      </c>
      <c r="D6" s="65" t="s">
        <v>83</v>
      </c>
      <c r="E6" s="81">
        <v>1.5</v>
      </c>
      <c r="F6" s="61" t="str">
        <f>"dB/km at "&amp;IF(B4&lt;1000,850,1300)&amp;" nm"</f>
        <v>dB/km at 1300 nm</v>
      </c>
      <c r="G6" s="61"/>
      <c r="H6" s="73"/>
      <c r="I6" s="62" t="s">
        <v>12</v>
      </c>
      <c r="J6" s="86">
        <v>7.037</v>
      </c>
      <c r="K6" s="61"/>
      <c r="L6" s="61"/>
      <c r="M6" s="67"/>
      <c r="N6" s="61"/>
      <c r="O6" s="65" t="s">
        <v>10</v>
      </c>
      <c r="P6" s="88">
        <f>(P7)</f>
        <v>3389.830508474576</v>
      </c>
      <c r="Q6" s="66"/>
      <c r="R6" s="83"/>
      <c r="S6" s="62" t="s">
        <v>204</v>
      </c>
      <c r="T6" s="51">
        <f>$E$10-$E$11</f>
        <v>6</v>
      </c>
      <c r="U6" s="233" t="s">
        <v>54</v>
      </c>
      <c r="V6" s="73"/>
      <c r="W6" s="66"/>
      <c r="Y6" s="166" t="s">
        <v>114</v>
      </c>
      <c r="Z6" s="167">
        <f>$Z$8*$P$2/(SQRT(8)*$T$9)</f>
        <v>2.0312797517227614</v>
      </c>
      <c r="AA6" s="168" t="s">
        <v>67</v>
      </c>
      <c r="AB6" s="61"/>
      <c r="AC6" s="1"/>
      <c r="AD6" s="1"/>
      <c r="AE6" s="1"/>
      <c r="AF6" s="1"/>
    </row>
    <row r="7" spans="1:32" ht="15" customHeight="1">
      <c r="A7" s="62" t="s">
        <v>11</v>
      </c>
      <c r="B7" s="81">
        <v>100</v>
      </c>
      <c r="C7" s="73" t="s">
        <v>87</v>
      </c>
      <c r="D7" s="65" t="s">
        <v>145</v>
      </c>
      <c r="E7" s="239">
        <f>IF(O1="SMF",1000000*J2/(3*E2),E3)</f>
        <v>500</v>
      </c>
      <c r="F7" s="61" t="s">
        <v>143</v>
      </c>
      <c r="G7" s="67"/>
      <c r="H7" s="67"/>
      <c r="I7" s="65" t="s">
        <v>88</v>
      </c>
      <c r="J7" s="147">
        <f>2.5*10^5/$E$8</f>
        <v>80</v>
      </c>
      <c r="K7" s="67" t="s">
        <v>87</v>
      </c>
      <c r="L7" s="61"/>
      <c r="M7" s="67"/>
      <c r="N7" s="61"/>
      <c r="O7" s="65" t="s">
        <v>13</v>
      </c>
      <c r="P7" s="89">
        <f>1/((1/$E$8)-$J$8*10^-6)</f>
        <v>3389.830508474576</v>
      </c>
      <c r="Q7" s="66"/>
      <c r="R7" s="83"/>
      <c r="S7" s="91" t="s">
        <v>28</v>
      </c>
      <c r="T7" s="115">
        <f>AE36</f>
        <v>0.41058915673248464</v>
      </c>
      <c r="U7" s="92" t="str">
        <f>"dB at target "&amp;J2&amp;" km"</f>
        <v>dB at target 0.3 km</v>
      </c>
      <c r="V7" s="73"/>
      <c r="W7" s="119"/>
      <c r="Y7" s="166" t="s">
        <v>115</v>
      </c>
      <c r="Z7" s="169">
        <f>IF(ABS($Z$6)&lt;10,SIGN($Z$6)*ERF(ABS($Z$6)),SIGN($Z$6))</f>
        <v>0.9959297241782481</v>
      </c>
      <c r="AA7" s="168" t="s">
        <v>67</v>
      </c>
      <c r="AB7" s="61"/>
      <c r="AC7" s="1"/>
      <c r="AD7" s="2" t="s">
        <v>166</v>
      </c>
      <c r="AE7" s="253">
        <f>1000*10^(J9/10)</f>
        <v>562.341325190349</v>
      </c>
      <c r="AF7" s="1" t="s">
        <v>165</v>
      </c>
    </row>
    <row r="8" spans="1:32" ht="15" customHeight="1">
      <c r="A8" s="248" t="s">
        <v>224</v>
      </c>
      <c r="B8" s="81">
        <v>-120</v>
      </c>
      <c r="C8" s="102" t="s">
        <v>74</v>
      </c>
      <c r="D8" s="62" t="s">
        <v>84</v>
      </c>
      <c r="E8" s="148">
        <v>3125</v>
      </c>
      <c r="F8" s="73" t="s">
        <v>89</v>
      </c>
      <c r="G8" s="67"/>
      <c r="H8" s="61"/>
      <c r="I8" s="65" t="s">
        <v>15</v>
      </c>
      <c r="J8" s="81">
        <v>25</v>
      </c>
      <c r="K8" s="61"/>
      <c r="L8" s="61"/>
      <c r="M8" s="61"/>
      <c r="N8" s="61"/>
      <c r="O8" s="62" t="s">
        <v>14</v>
      </c>
      <c r="P8" s="63">
        <f>(10^-6)*$J$7*$P$7</f>
        <v>0.27118644067796605</v>
      </c>
      <c r="Q8" s="66"/>
      <c r="R8" s="83"/>
      <c r="S8" s="65" t="s">
        <v>100</v>
      </c>
      <c r="T8" s="51">
        <f>$P$3*((1/(0.00094*$B$4)^4)+1.05)</f>
        <v>1.542349727375382</v>
      </c>
      <c r="U8" s="61" t="str">
        <f>"dB/km at "&amp;B4&amp;" nm"</f>
        <v>dB/km at 1270 nm</v>
      </c>
      <c r="V8" s="73"/>
      <c r="W8" s="66"/>
      <c r="Y8" s="166" t="s">
        <v>116</v>
      </c>
      <c r="Z8" s="170">
        <v>2.563</v>
      </c>
      <c r="AA8" s="168" t="s">
        <v>67</v>
      </c>
      <c r="AB8" s="61"/>
      <c r="AC8" s="1"/>
      <c r="AD8" s="1"/>
      <c r="AE8" s="1"/>
      <c r="AF8" s="1"/>
    </row>
    <row r="9" spans="1:32" ht="15" customHeight="1">
      <c r="A9" s="62" t="s">
        <v>225</v>
      </c>
      <c r="B9" s="247">
        <f>B8-2*T3</f>
        <v>-133.52563299307755</v>
      </c>
      <c r="C9" s="102" t="s">
        <v>74</v>
      </c>
      <c r="D9" s="65" t="s">
        <v>85</v>
      </c>
      <c r="E9" s="145">
        <v>2500</v>
      </c>
      <c r="F9" s="73" t="s">
        <v>90</v>
      </c>
      <c r="G9" s="73"/>
      <c r="H9" s="61"/>
      <c r="I9" s="258" t="s">
        <v>233</v>
      </c>
      <c r="J9" s="122">
        <v>-2.5</v>
      </c>
      <c r="K9" s="250">
        <v>237</v>
      </c>
      <c r="L9" s="92" t="s">
        <v>164</v>
      </c>
      <c r="M9" s="67"/>
      <c r="N9" s="61"/>
      <c r="O9" s="62" t="s">
        <v>16</v>
      </c>
      <c r="P9" s="90">
        <f>(P8)</f>
        <v>0.27118644067796605</v>
      </c>
      <c r="Q9" s="66"/>
      <c r="R9" s="83"/>
      <c r="S9" s="91" t="s">
        <v>64</v>
      </c>
      <c r="T9" s="138">
        <f>T10*1000/$E$9</f>
        <v>131.6</v>
      </c>
      <c r="U9" s="92" t="s">
        <v>87</v>
      </c>
      <c r="V9" s="32"/>
      <c r="W9" s="41"/>
      <c r="Y9" s="171" t="s">
        <v>86</v>
      </c>
      <c r="Z9" s="193">
        <f>ERF(MAX(MIN($Z$8*$P$2*($P$9+1)/(SQRT(8)*$T$9),10),-10))+ERF(MAX(MIN($Z$8*$P$2*(1-$P$9)/(SQRT(8)*$T$9),10),-10))-1</f>
        <v>0.9634470577655052</v>
      </c>
      <c r="AA9" s="172" t="s">
        <v>67</v>
      </c>
      <c r="AB9" s="61"/>
      <c r="AC9" s="1"/>
      <c r="AD9" s="1"/>
      <c r="AE9" s="1"/>
      <c r="AF9" s="1"/>
    </row>
    <row r="10" spans="1:32" ht="15" customHeight="1">
      <c r="A10" s="273" t="s">
        <v>226</v>
      </c>
      <c r="B10" s="81">
        <v>0.8</v>
      </c>
      <c r="C10" s="73"/>
      <c r="D10" s="65" t="s">
        <v>58</v>
      </c>
      <c r="E10" s="81">
        <v>8</v>
      </c>
      <c r="F10" s="73"/>
      <c r="G10" s="62"/>
      <c r="H10" s="61"/>
      <c r="I10" s="62" t="s">
        <v>21</v>
      </c>
      <c r="J10" s="116">
        <v>7</v>
      </c>
      <c r="K10" s="61"/>
      <c r="L10" s="61"/>
      <c r="M10" s="67"/>
      <c r="N10" s="61"/>
      <c r="O10" s="62" t="s">
        <v>18</v>
      </c>
      <c r="P10" s="49">
        <f>S35-$T$6</f>
        <v>2.5308355942988214</v>
      </c>
      <c r="Q10" s="67" t="s">
        <v>19</v>
      </c>
      <c r="R10" s="83"/>
      <c r="S10" s="202" t="s">
        <v>141</v>
      </c>
      <c r="T10" s="234">
        <v>329</v>
      </c>
      <c r="U10" s="235" t="s">
        <v>91</v>
      </c>
      <c r="V10" s="73"/>
      <c r="W10" s="103" t="s">
        <v>20</v>
      </c>
      <c r="X10" s="66"/>
      <c r="Y10" s="12" t="s">
        <v>29</v>
      </c>
      <c r="Z10" s="12" t="s">
        <v>24</v>
      </c>
      <c r="AA10" s="150"/>
      <c r="AB10" s="61"/>
      <c r="AC10" s="1"/>
      <c r="AD10" s="1"/>
      <c r="AE10" s="1"/>
      <c r="AF10" s="1"/>
    </row>
    <row r="11" spans="1:32" ht="15" customHeight="1">
      <c r="A11" s="34" t="s">
        <v>17</v>
      </c>
      <c r="B11" s="240">
        <v>1</v>
      </c>
      <c r="C11" s="32"/>
      <c r="D11" s="45" t="s">
        <v>59</v>
      </c>
      <c r="E11" s="240">
        <v>2</v>
      </c>
      <c r="F11" s="32"/>
      <c r="G11" s="33"/>
      <c r="H11" s="33"/>
      <c r="I11" s="34" t="s">
        <v>65</v>
      </c>
      <c r="J11" s="35">
        <v>0</v>
      </c>
      <c r="K11" s="36" t="s">
        <v>57</v>
      </c>
      <c r="L11" s="37"/>
      <c r="M11" s="37"/>
      <c r="N11" s="33"/>
      <c r="O11" s="38" t="s">
        <v>53</v>
      </c>
      <c r="P11" s="39">
        <f>10*LOG10(1/SQRT(1-($J$6*J11)^2))</f>
        <v>0</v>
      </c>
      <c r="Q11" s="36" t="s">
        <v>54</v>
      </c>
      <c r="R11" s="57"/>
      <c r="S11" s="38" t="s">
        <v>52</v>
      </c>
      <c r="T11" s="40">
        <f>10*LOG10(1/SQRT(1-($J$6*$J$11/$Z$9)^2))</f>
        <v>0</v>
      </c>
      <c r="U11" s="236" t="s">
        <v>54</v>
      </c>
      <c r="V11" s="73"/>
      <c r="W11" s="93" t="s">
        <v>22</v>
      </c>
      <c r="X11" s="6" t="s">
        <v>23</v>
      </c>
      <c r="Y11" s="10" t="s">
        <v>77</v>
      </c>
      <c r="Z11" s="6" t="s">
        <v>30</v>
      </c>
      <c r="AA11" s="151" t="s">
        <v>68</v>
      </c>
      <c r="AB11" s="61"/>
      <c r="AC11" s="1"/>
      <c r="AD11" s="1"/>
      <c r="AE11" s="1"/>
      <c r="AF11" s="1"/>
    </row>
    <row r="12" spans="1:35" ht="15" customHeight="1">
      <c r="A12" s="242" t="s">
        <v>76</v>
      </c>
      <c r="B12" s="66" t="s">
        <v>215</v>
      </c>
      <c r="C12" s="66" t="s">
        <v>216</v>
      </c>
      <c r="D12" s="72" t="s">
        <v>70</v>
      </c>
      <c r="E12" s="72" t="s">
        <v>146</v>
      </c>
      <c r="F12" s="73" t="s">
        <v>71</v>
      </c>
      <c r="G12" s="73" t="s">
        <v>72</v>
      </c>
      <c r="H12" s="64" t="s">
        <v>32</v>
      </c>
      <c r="I12" s="65" t="s">
        <v>33</v>
      </c>
      <c r="J12" s="66" t="s">
        <v>34</v>
      </c>
      <c r="K12" s="67" t="s">
        <v>35</v>
      </c>
      <c r="L12" s="65" t="s">
        <v>36</v>
      </c>
      <c r="M12" s="65" t="s">
        <v>37</v>
      </c>
      <c r="N12" s="65" t="s">
        <v>38</v>
      </c>
      <c r="O12" s="68" t="s">
        <v>69</v>
      </c>
      <c r="P12" s="256" t="s">
        <v>175</v>
      </c>
      <c r="Q12" s="65" t="s">
        <v>39</v>
      </c>
      <c r="R12" s="69" t="s">
        <v>40</v>
      </c>
      <c r="S12" s="70" t="s">
        <v>42</v>
      </c>
      <c r="T12" s="68" t="s">
        <v>43</v>
      </c>
      <c r="U12" s="67" t="s">
        <v>44</v>
      </c>
      <c r="V12" s="71" t="s">
        <v>28</v>
      </c>
      <c r="W12" s="230" t="s">
        <v>27</v>
      </c>
      <c r="X12" s="6" t="s">
        <v>28</v>
      </c>
      <c r="Y12" s="5" t="s">
        <v>157</v>
      </c>
      <c r="Z12" s="5" t="s">
        <v>158</v>
      </c>
      <c r="AA12" s="151" t="s">
        <v>56</v>
      </c>
      <c r="AB12" s="66" t="s">
        <v>41</v>
      </c>
      <c r="AC12" s="156" t="s">
        <v>123</v>
      </c>
      <c r="AD12" s="1"/>
      <c r="AE12" s="146" t="s">
        <v>101</v>
      </c>
      <c r="AF12" s="173" t="s">
        <v>117</v>
      </c>
      <c r="AG12" s="180" t="s">
        <v>118</v>
      </c>
      <c r="AH12" s="157" t="s">
        <v>119</v>
      </c>
      <c r="AI12" s="157" t="s">
        <v>120</v>
      </c>
    </row>
    <row r="13" spans="1:35" s="33" customFormat="1" ht="15" customHeight="1">
      <c r="A13" s="120" t="s">
        <v>75</v>
      </c>
      <c r="B13" s="42" t="s">
        <v>217</v>
      </c>
      <c r="C13" s="42" t="s">
        <v>217</v>
      </c>
      <c r="D13" s="43" t="s">
        <v>73</v>
      </c>
      <c r="E13" s="43" t="s">
        <v>73</v>
      </c>
      <c r="F13" s="32" t="s">
        <v>97</v>
      </c>
      <c r="G13" s="32" t="s">
        <v>97</v>
      </c>
      <c r="H13" s="44" t="s">
        <v>25</v>
      </c>
      <c r="I13" s="45" t="s">
        <v>25</v>
      </c>
      <c r="J13" s="32"/>
      <c r="K13" s="46"/>
      <c r="L13" s="45" t="s">
        <v>25</v>
      </c>
      <c r="M13" s="45"/>
      <c r="N13" s="45" t="s">
        <v>25</v>
      </c>
      <c r="O13" s="45" t="s">
        <v>25</v>
      </c>
      <c r="P13" s="257" t="s">
        <v>25</v>
      </c>
      <c r="Q13" s="45" t="s">
        <v>25</v>
      </c>
      <c r="R13" s="58" t="s">
        <v>25</v>
      </c>
      <c r="S13" s="46" t="s">
        <v>25</v>
      </c>
      <c r="T13" s="47" t="s">
        <v>25</v>
      </c>
      <c r="U13" s="47" t="s">
        <v>26</v>
      </c>
      <c r="V13" s="48" t="s">
        <v>25</v>
      </c>
      <c r="W13" s="94" t="s">
        <v>45</v>
      </c>
      <c r="X13" s="42" t="s">
        <v>46</v>
      </c>
      <c r="Y13" s="42" t="s">
        <v>25</v>
      </c>
      <c r="Z13" s="42" t="s">
        <v>25</v>
      </c>
      <c r="AA13" s="152" t="s">
        <v>55</v>
      </c>
      <c r="AB13" s="42" t="s">
        <v>25</v>
      </c>
      <c r="AC13" s="132" t="s">
        <v>122</v>
      </c>
      <c r="AD13" s="133" t="s">
        <v>94</v>
      </c>
      <c r="AE13" s="133" t="s">
        <v>121</v>
      </c>
      <c r="AF13" s="174" t="s">
        <v>55</v>
      </c>
      <c r="AG13" s="181" t="s">
        <v>55</v>
      </c>
      <c r="AH13" s="181" t="s">
        <v>55</v>
      </c>
      <c r="AI13" s="181" t="s">
        <v>55</v>
      </c>
    </row>
    <row r="14" spans="1:35" s="114" customFormat="1" ht="15" customHeight="1">
      <c r="A14" s="121">
        <v>0.002</v>
      </c>
      <c r="B14" s="107">
        <f>A14*$B$3</f>
        <v>-0.01166682414860891</v>
      </c>
      <c r="C14" s="125">
        <f>A14*$Z$4</f>
        <v>9.548E-05</v>
      </c>
      <c r="D14" s="108">
        <f>(0.187/$B$5)*10^6/(SQRT(B14^2+C14^2))</f>
        <v>25851319.902596314</v>
      </c>
      <c r="E14" s="108">
        <f>$E$7/A14</f>
        <v>250000</v>
      </c>
      <c r="F14" s="140">
        <f>SQRT((1000*$J$5/D14)^2+(1000*$J$5/E14)^2+$P$4^2)</f>
        <v>151.81214294238828</v>
      </c>
      <c r="G14" s="140">
        <f aca="true" t="shared" si="0" ref="G14:G35">SQRT(F14^2+$T$9^2)</f>
        <v>200.91163914706416</v>
      </c>
      <c r="H14" s="109">
        <f aca="true" t="shared" si="1" ref="H14:H35">-10*LOG10(2*AG14-1)</f>
        <v>0.5540434128371162</v>
      </c>
      <c r="I14" s="107">
        <f aca="true" t="shared" si="2" ref="I14:I35">A14*$P$3*((1/(0.00094*$B$4)^4)+1.05)</f>
        <v>0.0030846994547507637</v>
      </c>
      <c r="J14" s="110">
        <f>(10^-6)*3.14*$P$6*B14*$B$5</f>
        <v>-7.69931296695316E-05</v>
      </c>
      <c r="K14" s="107">
        <f aca="true" t="shared" si="3" ref="K14:K35">($B$10/SQRT(2))*(1-EXP(-1*J14^2))</f>
        <v>3.3533504041317034E-09</v>
      </c>
      <c r="L14" s="107">
        <f aca="true" t="shared" si="4" ref="L14:L35">10*LOG10(1/SQRT(1-($J$6*K14)^2))</f>
        <v>9.64327466553287E-16</v>
      </c>
      <c r="M14" s="107"/>
      <c r="N14" s="107"/>
      <c r="O14" s="107">
        <f aca="true" t="shared" si="5" ref="O14:O35">10*LOG10(1/SQRT(1-($J$6*$J$6*((($J$11/AA14)^2)+M14+(K14*K14)))))-$T$11-L14-N14</f>
        <v>0</v>
      </c>
      <c r="P14" s="175">
        <f aca="true" t="shared" si="6" ref="P14:P35">Y14-Z14</f>
        <v>5.006190046751059</v>
      </c>
      <c r="Q14" s="107">
        <f aca="true" t="shared" si="7" ref="Q14:Q35">$B$11</f>
        <v>1</v>
      </c>
      <c r="R14" s="203">
        <f aca="true" t="shared" si="8" ref="R14:R35">-10*LOG10(AA14)-H14</f>
        <v>0.3451756079917845</v>
      </c>
      <c r="S14" s="255">
        <f>H14+I14+L14+N14+O14+Q14+R14</f>
        <v>1.9023037202836524</v>
      </c>
      <c r="T14" s="107">
        <f aca="true" t="shared" si="9" ref="T14:T35">$E$11+I14</f>
        <v>2.003084699454751</v>
      </c>
      <c r="U14" s="107">
        <f aca="true" t="shared" si="10" ref="U14:U35">S14-I14</f>
        <v>1.8992190208289015</v>
      </c>
      <c r="V14" s="112">
        <f aca="true" t="shared" si="11" ref="V14:V35">$T$6-S14</f>
        <v>4.097696279716348</v>
      </c>
      <c r="W14" s="113">
        <f aca="true" t="shared" si="12" ref="W14:W35">$J$9-T14-R14-$T$5</f>
        <v>-9.854450354197596</v>
      </c>
      <c r="X14" s="111"/>
      <c r="Y14" s="107">
        <f aca="true" t="shared" si="13" ref="Y14:Y35">10*LOG10((1+10^(-($B$6/10)))/(1-10^(-($B$6/10))))</f>
        <v>6.762816496538772</v>
      </c>
      <c r="Z14" s="107">
        <f aca="true" t="shared" si="14" ref="Z14:Z35">10*LOG10((1+10^(-($J$10/10)))/(1-10^(-($J$10/10))))</f>
        <v>1.7566264497877127</v>
      </c>
      <c r="AA14" s="175">
        <f>ERF(AH14)+ERF(AI14)-1</f>
        <v>0.8129766982617515</v>
      </c>
      <c r="AB14" s="111">
        <f aca="true" t="shared" si="15" ref="AB14:AB35">$E$10-$E$11</f>
        <v>6</v>
      </c>
      <c r="AC14" s="134"/>
      <c r="AD14" s="135"/>
      <c r="AE14" s="110"/>
      <c r="AF14" s="178">
        <f aca="true" t="shared" si="16" ref="AF14:AF35">$Z$8*$P$2/(SQRT(8)*G14)</f>
        <v>1.3305173182676786</v>
      </c>
      <c r="AG14" s="182">
        <f>IF(ABS(AF14)&lt;10,SIGN(AF14)*ERF(ABS(AF14)),SIGN(AF14))</f>
        <v>0.940114485812193</v>
      </c>
      <c r="AH14" s="188">
        <f aca="true" t="shared" si="17" ref="AH14:AH35">MAX(MIN($Z$8*$P$2*($P$9+1)/(SQRT(8)*G14),10),-10)</f>
        <v>1.691335574069083</v>
      </c>
      <c r="AI14" s="189">
        <f aca="true" t="shared" si="18" ref="AI14:AI35">MAX(MIN($Z$8*$P$2*(1-$P$9)/(SQRT(8)*G14),10),-10)</f>
        <v>0.9696990624662744</v>
      </c>
    </row>
    <row r="15" spans="1:35" s="20" customFormat="1" ht="15" customHeight="1">
      <c r="A15" s="261">
        <f>$J$3</f>
        <v>0.2</v>
      </c>
      <c r="B15" s="270">
        <f>A15*$B$3</f>
        <v>-1.166682414860891</v>
      </c>
      <c r="C15" s="127">
        <f>A15*$Z$4</f>
        <v>0.009548000000000001</v>
      </c>
      <c r="D15" s="142">
        <f>(0.187/$B$5)*10^6/(SQRT(B15^2+C15^2))</f>
        <v>258513.19902596308</v>
      </c>
      <c r="E15" s="142">
        <f>$E$7/A15</f>
        <v>2500</v>
      </c>
      <c r="F15" s="104">
        <f aca="true" t="shared" si="19" ref="F15:F35">SQRT((1000*$J$5/D15)^2+(1000*$J$5/E15)^2+$P$4^2)</f>
        <v>244.76659821401375</v>
      </c>
      <c r="G15" s="165">
        <f t="shared" si="0"/>
        <v>277.9015070150942</v>
      </c>
      <c r="H15" s="98">
        <f t="shared" si="1"/>
        <v>1.8537980764848614</v>
      </c>
      <c r="I15" s="95">
        <f t="shared" si="2"/>
        <v>0.3084699454750764</v>
      </c>
      <c r="J15" s="95">
        <f>(10^-6)*3.14*$P$6*B15*$B$5</f>
        <v>-0.007699312966953161</v>
      </c>
      <c r="K15" s="95">
        <f t="shared" si="3"/>
        <v>3.353251008197654E-05</v>
      </c>
      <c r="L15" s="95">
        <f t="shared" si="4"/>
        <v>1.2090981485751834E-07</v>
      </c>
      <c r="M15" s="95">
        <f>$P$5*10^9*($J$5/G15)*10^($B$8/10)</f>
        <v>0.0012090614534945657</v>
      </c>
      <c r="N15" s="95">
        <f aca="true" t="shared" si="20" ref="N15:N35">10*LOG10(1/SQRT(1-($J$6^2)*M15))</f>
        <v>0.1340649704800982</v>
      </c>
      <c r="O15" s="95">
        <f t="shared" si="5"/>
        <v>7.700129922572074E-09</v>
      </c>
      <c r="P15" s="207">
        <f t="shared" si="6"/>
        <v>5.006190046751059</v>
      </c>
      <c r="Q15" s="95">
        <f t="shared" si="7"/>
        <v>1</v>
      </c>
      <c r="R15" s="194">
        <f t="shared" si="8"/>
        <v>0.402745056071669</v>
      </c>
      <c r="S15" s="96">
        <f>H15+I15+L15+N15+O15+Q15+R15</f>
        <v>3.69907817712165</v>
      </c>
      <c r="T15" s="95">
        <f t="shared" si="9"/>
        <v>2.3084699454750766</v>
      </c>
      <c r="U15" s="95">
        <f t="shared" si="10"/>
        <v>3.3906082316465733</v>
      </c>
      <c r="V15" s="100">
        <f t="shared" si="11"/>
        <v>2.30092182287835</v>
      </c>
      <c r="W15" s="254">
        <f t="shared" si="12"/>
        <v>-10.217405048297806</v>
      </c>
      <c r="X15" s="19"/>
      <c r="Y15" s="18">
        <f t="shared" si="13"/>
        <v>6.762816496538772</v>
      </c>
      <c r="Z15" s="18">
        <f t="shared" si="14"/>
        <v>1.7566264497877127</v>
      </c>
      <c r="AA15" s="206">
        <f>ERF(AH15)+ERF(AI15)-1</f>
        <v>0.5947653875275127</v>
      </c>
      <c r="AB15" s="99">
        <f t="shared" si="15"/>
        <v>6</v>
      </c>
      <c r="AC15" s="183">
        <f aca="true" t="shared" si="21" ref="AC15:AC35">$J$2</f>
        <v>0.3</v>
      </c>
      <c r="AD15" s="185">
        <v>0</v>
      </c>
      <c r="AE15" s="198">
        <f aca="true" t="shared" si="22" ref="AE15:AE35">IF(A15=$J$2,V15,0)</f>
        <v>0</v>
      </c>
      <c r="AF15" s="153">
        <f t="shared" si="16"/>
        <v>0.9619106358865342</v>
      </c>
      <c r="AG15" s="176">
        <f>IF(ABS(AF15)&lt;10,SIGN(AF15)*ERF(ABS(AF15)),SIGN(AF15))</f>
        <v>0.8262798069585521</v>
      </c>
      <c r="AH15" s="191">
        <f t="shared" si="17"/>
        <v>1.2227677574828824</v>
      </c>
      <c r="AI15" s="192">
        <f t="shared" si="18"/>
        <v>0.701053514290186</v>
      </c>
    </row>
    <row r="16" spans="1:35" s="26" customFormat="1" ht="15" customHeight="1">
      <c r="A16" s="262">
        <f aca="true" t="shared" si="23" ref="A16:A35">A15+$J$4</f>
        <v>0.21000000000000002</v>
      </c>
      <c r="B16" s="271">
        <f>A16*$B$3</f>
        <v>-1.2250165356039355</v>
      </c>
      <c r="C16" s="128">
        <f>A16*$Z$4</f>
        <v>0.0100254</v>
      </c>
      <c r="D16" s="143">
        <f>(0.187/$B$5)*10^6/(SQRT(B16^2+C16^2))</f>
        <v>246203.0466913934</v>
      </c>
      <c r="E16" s="143">
        <f>$E$7/A16</f>
        <v>2380.9523809523807</v>
      </c>
      <c r="F16" s="105">
        <f t="shared" si="19"/>
        <v>252.36798723370137</v>
      </c>
      <c r="G16" s="105">
        <f t="shared" si="0"/>
        <v>284.6193264351345</v>
      </c>
      <c r="H16" s="50">
        <f t="shared" si="1"/>
        <v>1.9941931132570834</v>
      </c>
      <c r="I16" s="49">
        <f t="shared" si="2"/>
        <v>0.32389344274883025</v>
      </c>
      <c r="J16" s="49">
        <f aca="true" t="shared" si="24" ref="J16:J35">(10^-6)*3.14*$P$6*B16*$B$5</f>
        <v>-0.00808427861530082</v>
      </c>
      <c r="K16" s="49">
        <f t="shared" si="3"/>
        <v>3.696948005055571E-05</v>
      </c>
      <c r="L16" s="49">
        <f t="shared" si="4"/>
        <v>1.4696574451308448E-07</v>
      </c>
      <c r="M16" s="49">
        <f aca="true" t="shared" si="25" ref="M16:M33">$P$5*10^9*($J$5/G16)*10^($B$8/10)</f>
        <v>0.0011805241907090777</v>
      </c>
      <c r="N16" s="49">
        <f t="shared" si="20"/>
        <v>0.13080338678741937</v>
      </c>
      <c r="O16" s="49">
        <f t="shared" si="5"/>
        <v>9.12487202464618E-09</v>
      </c>
      <c r="P16" s="205">
        <f t="shared" si="6"/>
        <v>5.006190046751059</v>
      </c>
      <c r="Q16" s="49">
        <f t="shared" si="7"/>
        <v>1</v>
      </c>
      <c r="R16" s="197">
        <f t="shared" si="8"/>
        <v>0.4042369879323142</v>
      </c>
      <c r="S16" s="53">
        <f aca="true" t="shared" si="26" ref="S16:S35">H16+I16+L16+N16+O16+Q16+R16</f>
        <v>3.8531270868162633</v>
      </c>
      <c r="T16" s="49">
        <f t="shared" si="9"/>
        <v>2.3238934427488305</v>
      </c>
      <c r="U16" s="49">
        <f t="shared" si="10"/>
        <v>3.529233644067433</v>
      </c>
      <c r="V16" s="54">
        <f t="shared" si="11"/>
        <v>2.1468729131837367</v>
      </c>
      <c r="W16" s="97">
        <f t="shared" si="12"/>
        <v>-10.234320477432203</v>
      </c>
      <c r="X16" s="25">
        <f aca="true" t="shared" si="27" ref="X16:X34">(V17-V15)/2</f>
        <v>-0.1577423677649885</v>
      </c>
      <c r="Y16" s="23">
        <f t="shared" si="13"/>
        <v>6.762816496538772</v>
      </c>
      <c r="Z16" s="23">
        <f t="shared" si="14"/>
        <v>1.7566264497877127</v>
      </c>
      <c r="AA16" s="205">
        <f>ERF(AH16)+ERF(AI16)-1</f>
        <v>0.5756479864395585</v>
      </c>
      <c r="AB16" s="52">
        <f t="shared" si="15"/>
        <v>6</v>
      </c>
      <c r="AC16" s="136">
        <f t="shared" si="21"/>
        <v>0.3</v>
      </c>
      <c r="AD16" s="137">
        <f aca="true" t="shared" si="28" ref="AD16:AD34">AD17</f>
        <v>7.9</v>
      </c>
      <c r="AE16" s="199">
        <f t="shared" si="22"/>
        <v>0</v>
      </c>
      <c r="AF16" s="154">
        <f t="shared" si="16"/>
        <v>0.9392068299607811</v>
      </c>
      <c r="AG16" s="177">
        <f>IF(ABS(AF16)&lt;10,SIGN(AF16)*ERF(ABS(AF16)),SIGN(AF16))</f>
        <v>0.8159007761989818</v>
      </c>
      <c r="AH16" s="193">
        <f t="shared" si="17"/>
        <v>1.193906987238281</v>
      </c>
      <c r="AI16" s="193">
        <f t="shared" si="18"/>
        <v>0.6845066726832811</v>
      </c>
    </row>
    <row r="17" spans="1:35" s="26" customFormat="1" ht="15" customHeight="1">
      <c r="A17" s="262">
        <f t="shared" si="23"/>
        <v>0.22000000000000003</v>
      </c>
      <c r="B17" s="271">
        <f aca="true" t="shared" si="29" ref="B17:B34">A17*$B$3</f>
        <v>-1.28335065634698</v>
      </c>
      <c r="C17" s="128">
        <f aca="true" t="shared" si="30" ref="C17:C34">A17*$Z$4</f>
        <v>0.010502800000000001</v>
      </c>
      <c r="D17" s="143">
        <f aca="true" t="shared" si="31" ref="D17:D35">(0.187/$B$5)*10^6/(SQRT(B17^2+C17^2))</f>
        <v>235011.9991145119</v>
      </c>
      <c r="E17" s="143">
        <f aca="true" t="shared" si="32" ref="E17:E34">$E$7/A17</f>
        <v>2272.7272727272725</v>
      </c>
      <c r="F17" s="105">
        <f t="shared" si="19"/>
        <v>260.1016178295036</v>
      </c>
      <c r="G17" s="105">
        <f t="shared" si="0"/>
        <v>291.49856191330537</v>
      </c>
      <c r="H17" s="50">
        <f t="shared" si="1"/>
        <v>2.141977492609302</v>
      </c>
      <c r="I17" s="49">
        <f t="shared" si="2"/>
        <v>0.33931694002258406</v>
      </c>
      <c r="J17" s="49">
        <f t="shared" si="24"/>
        <v>-0.008469244263648477</v>
      </c>
      <c r="K17" s="49">
        <f t="shared" si="3"/>
        <v>4.057408465432014E-05</v>
      </c>
      <c r="L17" s="49">
        <f t="shared" si="4"/>
        <v>1.770218584747747E-07</v>
      </c>
      <c r="M17" s="49">
        <f t="shared" si="25"/>
        <v>0.0011526643486492734</v>
      </c>
      <c r="N17" s="49">
        <f t="shared" si="20"/>
        <v>0.12762394584683273</v>
      </c>
      <c r="O17" s="49">
        <f t="shared" si="5"/>
        <v>1.0715925896631617E-08</v>
      </c>
      <c r="P17" s="205">
        <f t="shared" si="6"/>
        <v>5.006190046751059</v>
      </c>
      <c r="Q17" s="49">
        <f t="shared" si="7"/>
        <v>1</v>
      </c>
      <c r="R17" s="197">
        <f t="shared" si="8"/>
        <v>0.40564434643512426</v>
      </c>
      <c r="S17" s="53">
        <f t="shared" si="26"/>
        <v>4.014562912651627</v>
      </c>
      <c r="T17" s="49">
        <f t="shared" si="9"/>
        <v>2.339316940022584</v>
      </c>
      <c r="U17" s="49">
        <f t="shared" si="10"/>
        <v>3.675245972629043</v>
      </c>
      <c r="V17" s="54">
        <f t="shared" si="11"/>
        <v>1.985437087348373</v>
      </c>
      <c r="W17" s="97">
        <f t="shared" si="12"/>
        <v>-10.251151333208767</v>
      </c>
      <c r="X17" s="25">
        <f t="shared" si="27"/>
        <v>-0.16517329747240606</v>
      </c>
      <c r="Y17" s="23">
        <f t="shared" si="13"/>
        <v>6.762816496538772</v>
      </c>
      <c r="Z17" s="23">
        <f t="shared" si="14"/>
        <v>1.7566264497877127</v>
      </c>
      <c r="AA17" s="205">
        <f>ERF(AH17)+ERF(AI17)-1</f>
        <v>0.5562087492423711</v>
      </c>
      <c r="AB17" s="52">
        <f t="shared" si="15"/>
        <v>6</v>
      </c>
      <c r="AC17" s="136">
        <f t="shared" si="21"/>
        <v>0.3</v>
      </c>
      <c r="AD17" s="137">
        <f t="shared" si="28"/>
        <v>7.9</v>
      </c>
      <c r="AE17" s="199">
        <f t="shared" si="22"/>
        <v>0</v>
      </c>
      <c r="AF17" s="154">
        <f t="shared" si="16"/>
        <v>0.9170419695113899</v>
      </c>
      <c r="AG17" s="177">
        <f>IF(ABS(AF17)&lt;10,SIGN(AF17)*ERF(ABS(AF17)),SIGN(AF17))</f>
        <v>0.8053319526237253</v>
      </c>
      <c r="AH17" s="193">
        <f t="shared" si="17"/>
        <v>1.1657313171754955</v>
      </c>
      <c r="AI17" s="193">
        <f t="shared" si="18"/>
        <v>0.6683526218472843</v>
      </c>
    </row>
    <row r="18" spans="1:35" s="26" customFormat="1" ht="15" customHeight="1">
      <c r="A18" s="262">
        <f t="shared" si="23"/>
        <v>0.23000000000000004</v>
      </c>
      <c r="B18" s="271">
        <f t="shared" si="29"/>
        <v>-1.3416847770900246</v>
      </c>
      <c r="C18" s="128">
        <f t="shared" si="30"/>
        <v>0.0109802</v>
      </c>
      <c r="D18" s="143">
        <f t="shared" si="31"/>
        <v>224794.08610953312</v>
      </c>
      <c r="E18" s="143">
        <f t="shared" si="32"/>
        <v>2173.9130434782605</v>
      </c>
      <c r="F18" s="105">
        <f t="shared" si="19"/>
        <v>267.9560401496241</v>
      </c>
      <c r="G18" s="105">
        <f t="shared" si="0"/>
        <v>298.52805471624765</v>
      </c>
      <c r="H18" s="50">
        <f t="shared" si="1"/>
        <v>2.2971679498196744</v>
      </c>
      <c r="I18" s="49">
        <f t="shared" si="2"/>
        <v>0.3547404372963379</v>
      </c>
      <c r="J18" s="49">
        <f t="shared" si="24"/>
        <v>-0.008854209911996135</v>
      </c>
      <c r="K18" s="49">
        <f t="shared" si="3"/>
        <v>4.434632068839713E-05</v>
      </c>
      <c r="L18" s="49">
        <f t="shared" si="4"/>
        <v>2.1146798409027224E-07</v>
      </c>
      <c r="M18" s="49">
        <f t="shared" si="25"/>
        <v>0.0011255223577541803</v>
      </c>
      <c r="N18" s="49">
        <f t="shared" si="20"/>
        <v>0.1245308985151837</v>
      </c>
      <c r="O18" s="49">
        <f t="shared" si="5"/>
        <v>1.2481881930814787E-08</v>
      </c>
      <c r="P18" s="205">
        <f t="shared" si="6"/>
        <v>5.006190046751059</v>
      </c>
      <c r="Q18" s="49">
        <f t="shared" si="7"/>
        <v>1</v>
      </c>
      <c r="R18" s="197">
        <f t="shared" si="8"/>
        <v>0.40703417218001325</v>
      </c>
      <c r="S18" s="53">
        <f t="shared" si="26"/>
        <v>4.183473681761075</v>
      </c>
      <c r="T18" s="49">
        <f t="shared" si="9"/>
        <v>2.354740437296338</v>
      </c>
      <c r="U18" s="49">
        <f t="shared" si="10"/>
        <v>3.8287332444647375</v>
      </c>
      <c r="V18" s="54">
        <f t="shared" si="11"/>
        <v>1.8165263182389246</v>
      </c>
      <c r="W18" s="97">
        <f t="shared" si="12"/>
        <v>-10.26796465622741</v>
      </c>
      <c r="X18" s="25">
        <f t="shared" si="27"/>
        <v>-0.17270517529503948</v>
      </c>
      <c r="Y18" s="23">
        <f t="shared" si="13"/>
        <v>6.762816496538772</v>
      </c>
      <c r="Z18" s="23">
        <f t="shared" si="14"/>
        <v>1.7566264497877127</v>
      </c>
      <c r="AA18" s="205">
        <f>ERF(AH18)+ERF(AI18)-1</f>
        <v>0.5365124294838277</v>
      </c>
      <c r="AB18" s="52">
        <f t="shared" si="15"/>
        <v>6</v>
      </c>
      <c r="AC18" s="136">
        <f t="shared" si="21"/>
        <v>0.3</v>
      </c>
      <c r="AD18" s="137">
        <f t="shared" si="28"/>
        <v>7.9</v>
      </c>
      <c r="AE18" s="199">
        <f t="shared" si="22"/>
        <v>0</v>
      </c>
      <c r="AF18" s="154">
        <f t="shared" si="16"/>
        <v>0.895448220371787</v>
      </c>
      <c r="AG18" s="177">
        <f>IF(ABS(AF18)&lt;10,SIGN(AF18)*ERF(ABS(AF18)),SIGN(AF18))</f>
        <v>0.794613883840539</v>
      </c>
      <c r="AH18" s="193">
        <f t="shared" si="17"/>
        <v>1.1382816360658308</v>
      </c>
      <c r="AI18" s="193">
        <f t="shared" si="18"/>
        <v>0.652614804677743</v>
      </c>
    </row>
    <row r="19" spans="1:35" s="26" customFormat="1" ht="15" customHeight="1">
      <c r="A19" s="262">
        <f t="shared" si="23"/>
        <v>0.24000000000000005</v>
      </c>
      <c r="B19" s="271">
        <f t="shared" si="29"/>
        <v>-1.4000188978330692</v>
      </c>
      <c r="C19" s="128">
        <f t="shared" si="30"/>
        <v>0.011457600000000002</v>
      </c>
      <c r="D19" s="143">
        <f t="shared" si="31"/>
        <v>215427.66585496927</v>
      </c>
      <c r="E19" s="143">
        <f t="shared" si="32"/>
        <v>2083.333333333333</v>
      </c>
      <c r="F19" s="105">
        <f t="shared" si="19"/>
        <v>275.92093894051436</v>
      </c>
      <c r="G19" s="105">
        <f t="shared" si="0"/>
        <v>305.69743954736526</v>
      </c>
      <c r="H19" s="50">
        <f t="shared" si="1"/>
        <v>2.4598059818566727</v>
      </c>
      <c r="I19" s="49">
        <f t="shared" si="2"/>
        <v>0.3701639345700917</v>
      </c>
      <c r="J19" s="49">
        <f t="shared" si="24"/>
        <v>-0.009239175560343793</v>
      </c>
      <c r="K19" s="49">
        <f t="shared" si="3"/>
        <v>4.8286184798629536E-05</v>
      </c>
      <c r="L19" s="49">
        <f t="shared" si="4"/>
        <v>2.507120616440916E-07</v>
      </c>
      <c r="M19" s="49">
        <f t="shared" si="25"/>
        <v>0.001099125987111644</v>
      </c>
      <c r="N19" s="49">
        <f t="shared" si="20"/>
        <v>0.12152704054146797</v>
      </c>
      <c r="O19" s="49">
        <f t="shared" si="5"/>
        <v>1.4431225853206442E-08</v>
      </c>
      <c r="P19" s="205">
        <f t="shared" si="6"/>
        <v>5.006190046751059</v>
      </c>
      <c r="Q19" s="49">
        <f t="shared" si="7"/>
        <v>1</v>
      </c>
      <c r="R19" s="197">
        <f t="shared" si="8"/>
        <v>0.4084760411301862</v>
      </c>
      <c r="S19" s="53">
        <f t="shared" si="26"/>
        <v>4.359973263241706</v>
      </c>
      <c r="T19" s="49">
        <f t="shared" si="9"/>
        <v>2.370163934570092</v>
      </c>
      <c r="U19" s="49">
        <f t="shared" si="10"/>
        <v>3.989809328671614</v>
      </c>
      <c r="V19" s="54">
        <f t="shared" si="11"/>
        <v>1.6400267367582941</v>
      </c>
      <c r="W19" s="97">
        <f t="shared" si="12"/>
        <v>-10.284830022451338</v>
      </c>
      <c r="X19" s="25">
        <f t="shared" si="27"/>
        <v>-0.18036612694435705</v>
      </c>
      <c r="Y19" s="23">
        <f t="shared" si="13"/>
        <v>6.762816496538772</v>
      </c>
      <c r="Z19" s="23">
        <f t="shared" si="14"/>
        <v>1.7566264497877127</v>
      </c>
      <c r="AA19" s="205">
        <f>ERF(AH19)+ERF(AI19)-1</f>
        <v>0.5166206930636024</v>
      </c>
      <c r="AB19" s="52">
        <f t="shared" si="15"/>
        <v>6</v>
      </c>
      <c r="AC19" s="136">
        <f t="shared" si="21"/>
        <v>0.3</v>
      </c>
      <c r="AD19" s="137">
        <f t="shared" si="28"/>
        <v>7.9</v>
      </c>
      <c r="AE19" s="199">
        <f t="shared" si="22"/>
        <v>0</v>
      </c>
      <c r="AF19" s="154">
        <f t="shared" si="16"/>
        <v>0.8744476751997687</v>
      </c>
      <c r="AG19" s="177">
        <f>IF(ABS(AF19)&lt;10,SIGN(AF19)*ERF(ABS(AF19)),SIGN(AF19))</f>
        <v>0.7837849803245123</v>
      </c>
      <c r="AH19" s="193">
        <f t="shared" si="17"/>
        <v>1.111586027796316</v>
      </c>
      <c r="AI19" s="193">
        <f t="shared" si="18"/>
        <v>0.6373093226032214</v>
      </c>
    </row>
    <row r="20" spans="1:35" s="20" customFormat="1" ht="15" customHeight="1">
      <c r="A20" s="261">
        <f t="shared" si="23"/>
        <v>0.25000000000000006</v>
      </c>
      <c r="B20" s="270">
        <f t="shared" si="29"/>
        <v>-1.4583530185761138</v>
      </c>
      <c r="C20" s="127">
        <f t="shared" si="30"/>
        <v>0.011935000000000003</v>
      </c>
      <c r="D20" s="142">
        <f t="shared" si="31"/>
        <v>206810.55922077046</v>
      </c>
      <c r="E20" s="142">
        <f t="shared" si="32"/>
        <v>1999.9999999999995</v>
      </c>
      <c r="F20" s="104">
        <f t="shared" si="19"/>
        <v>283.98701885292127</v>
      </c>
      <c r="G20" s="104">
        <f t="shared" si="0"/>
        <v>312.99710362393046</v>
      </c>
      <c r="H20" s="98">
        <f t="shared" si="1"/>
        <v>2.6299617232565464</v>
      </c>
      <c r="I20" s="95">
        <f t="shared" si="2"/>
        <v>0.3855874318438456</v>
      </c>
      <c r="J20" s="95">
        <f t="shared" si="24"/>
        <v>-0.00962414120869145</v>
      </c>
      <c r="K20" s="95">
        <f t="shared" si="3"/>
        <v>5.239367348195269E-05</v>
      </c>
      <c r="L20" s="95">
        <f t="shared" si="4"/>
        <v>2.951801472455188E-07</v>
      </c>
      <c r="M20" s="95">
        <f t="shared" si="25"/>
        <v>0.0010734923617814298</v>
      </c>
      <c r="N20" s="95">
        <f t="shared" si="20"/>
        <v>0.11861395312828914</v>
      </c>
      <c r="O20" s="95">
        <f t="shared" si="5"/>
        <v>1.6572347938392795E-08</v>
      </c>
      <c r="P20" s="207">
        <f t="shared" si="6"/>
        <v>5.006190046751059</v>
      </c>
      <c r="Q20" s="95">
        <f t="shared" si="7"/>
        <v>1</v>
      </c>
      <c r="R20" s="196">
        <f t="shared" si="8"/>
        <v>0.4100425156686134</v>
      </c>
      <c r="S20" s="96">
        <f t="shared" si="26"/>
        <v>4.5442059356497895</v>
      </c>
      <c r="T20" s="95">
        <f t="shared" si="9"/>
        <v>2.3855874318438457</v>
      </c>
      <c r="U20" s="95">
        <f t="shared" si="10"/>
        <v>4.158618503805944</v>
      </c>
      <c r="V20" s="100">
        <f t="shared" si="11"/>
        <v>1.4557940643502105</v>
      </c>
      <c r="W20" s="101">
        <f t="shared" si="12"/>
        <v>-10.301819994263518</v>
      </c>
      <c r="X20" s="27">
        <f t="shared" si="27"/>
        <v>-0.18819019514989144</v>
      </c>
      <c r="Y20" s="18">
        <f t="shared" si="13"/>
        <v>6.762816496538772</v>
      </c>
      <c r="Z20" s="18">
        <f t="shared" si="14"/>
        <v>1.7566264497877127</v>
      </c>
      <c r="AA20" s="207">
        <f>ERF(AH20)+ERF(AI20)-1</f>
        <v>0.4965918367523383</v>
      </c>
      <c r="AB20" s="99">
        <f t="shared" si="15"/>
        <v>6</v>
      </c>
      <c r="AC20" s="183">
        <f t="shared" si="21"/>
        <v>0.3</v>
      </c>
      <c r="AD20" s="184">
        <f t="shared" si="28"/>
        <v>7.9</v>
      </c>
      <c r="AE20" s="198">
        <f t="shared" si="22"/>
        <v>0</v>
      </c>
      <c r="AF20" s="153">
        <f t="shared" si="16"/>
        <v>0.8540539584286349</v>
      </c>
      <c r="AG20" s="176">
        <f>IF(ABS(AF20)&lt;10,SIGN(AF20)*ERF(ABS(AF20)),SIGN(AF20))</f>
        <v>0.7728813355872103</v>
      </c>
      <c r="AH20" s="191">
        <f t="shared" si="17"/>
        <v>1.085661811561824</v>
      </c>
      <c r="AI20" s="191">
        <f t="shared" si="18"/>
        <v>0.6224461052954458</v>
      </c>
    </row>
    <row r="21" spans="1:35" s="26" customFormat="1" ht="15" customHeight="1">
      <c r="A21" s="262">
        <f t="shared" si="23"/>
        <v>0.26000000000000006</v>
      </c>
      <c r="B21" s="271">
        <f t="shared" si="29"/>
        <v>-1.5166871393191586</v>
      </c>
      <c r="C21" s="128">
        <f t="shared" si="30"/>
        <v>0.012412400000000002</v>
      </c>
      <c r="D21" s="143">
        <f t="shared" si="31"/>
        <v>198856.3069430485</v>
      </c>
      <c r="E21" s="143">
        <f t="shared" si="32"/>
        <v>1923.0769230769226</v>
      </c>
      <c r="F21" s="105">
        <f t="shared" si="19"/>
        <v>292.1458992457881</v>
      </c>
      <c r="G21" s="105">
        <f t="shared" si="0"/>
        <v>320.41814312883434</v>
      </c>
      <c r="H21" s="50">
        <f t="shared" si="1"/>
        <v>2.8077412042002785</v>
      </c>
      <c r="I21" s="49">
        <f t="shared" si="2"/>
        <v>0.4010109291175994</v>
      </c>
      <c r="J21" s="49">
        <f t="shared" si="24"/>
        <v>-0.01000910685703911</v>
      </c>
      <c r="K21" s="49">
        <f t="shared" si="3"/>
        <v>5.666878308620591E-05</v>
      </c>
      <c r="L21" s="49">
        <f t="shared" si="4"/>
        <v>3.4531641668017767E-07</v>
      </c>
      <c r="M21" s="49">
        <f t="shared" si="25"/>
        <v>0.0010486297583495465</v>
      </c>
      <c r="N21" s="49">
        <f t="shared" si="20"/>
        <v>0.11579221564757104</v>
      </c>
      <c r="O21" s="49">
        <f t="shared" si="5"/>
        <v>1.8913546701027073E-08</v>
      </c>
      <c r="P21" s="205">
        <f t="shared" si="6"/>
        <v>5.006190046751059</v>
      </c>
      <c r="Q21" s="49">
        <f t="shared" si="7"/>
        <v>1</v>
      </c>
      <c r="R21" s="197">
        <f t="shared" si="8"/>
        <v>0.41180894034607585</v>
      </c>
      <c r="S21" s="53">
        <f t="shared" si="26"/>
        <v>4.736353653541489</v>
      </c>
      <c r="T21" s="49">
        <f t="shared" si="9"/>
        <v>2.401010929117599</v>
      </c>
      <c r="U21" s="49">
        <f t="shared" si="10"/>
        <v>4.33534272442389</v>
      </c>
      <c r="V21" s="54">
        <f t="shared" si="11"/>
        <v>1.2636463464585113</v>
      </c>
      <c r="W21" s="97">
        <f t="shared" si="12"/>
        <v>-10.319009916214736</v>
      </c>
      <c r="X21" s="25">
        <f t="shared" si="27"/>
        <v>-0.19621761374205748</v>
      </c>
      <c r="Y21" s="23">
        <f t="shared" si="13"/>
        <v>6.762816496538772</v>
      </c>
      <c r="Z21" s="23">
        <f t="shared" si="14"/>
        <v>1.7566264497877127</v>
      </c>
      <c r="AA21" s="205">
        <f>ERF(AH21)+ERF(AI21)-1</f>
        <v>0.47648033953432134</v>
      </c>
      <c r="AB21" s="52">
        <f t="shared" si="15"/>
        <v>6</v>
      </c>
      <c r="AC21" s="136">
        <f t="shared" si="21"/>
        <v>0.3</v>
      </c>
      <c r="AD21" s="137">
        <f t="shared" si="28"/>
        <v>7.9</v>
      </c>
      <c r="AE21" s="199">
        <f t="shared" si="22"/>
        <v>0</v>
      </c>
      <c r="AF21" s="154">
        <f t="shared" si="16"/>
        <v>0.8342736547825017</v>
      </c>
      <c r="AG21" s="177">
        <f>IF(ABS(AF21)&lt;10,SIGN(AF21)*ERF(ABS(AF21)),SIGN(AF21))</f>
        <v>0.7619364178229688</v>
      </c>
      <c r="AH21" s="193">
        <f t="shared" si="17"/>
        <v>1.0605173577743665</v>
      </c>
      <c r="AI21" s="193">
        <f t="shared" si="18"/>
        <v>0.6080299517906369</v>
      </c>
    </row>
    <row r="22" spans="1:35" s="26" customFormat="1" ht="15" customHeight="1">
      <c r="A22" s="262">
        <f t="shared" si="23"/>
        <v>0.2700000000000001</v>
      </c>
      <c r="B22" s="271">
        <f t="shared" si="29"/>
        <v>-1.575021260062203</v>
      </c>
      <c r="C22" s="128">
        <f t="shared" si="30"/>
        <v>0.012889800000000003</v>
      </c>
      <c r="D22" s="143">
        <f t="shared" si="31"/>
        <v>191491.2585377504</v>
      </c>
      <c r="E22" s="143">
        <f t="shared" si="32"/>
        <v>1851.8518518518513</v>
      </c>
      <c r="F22" s="105">
        <f t="shared" si="19"/>
        <v>300.390018564694</v>
      </c>
      <c r="G22" s="105">
        <f t="shared" si="0"/>
        <v>327.95231856673496</v>
      </c>
      <c r="H22" s="50">
        <f t="shared" si="1"/>
        <v>2.9932892943149154</v>
      </c>
      <c r="I22" s="49">
        <f t="shared" si="2"/>
        <v>0.41643442639135325</v>
      </c>
      <c r="J22" s="49">
        <f t="shared" si="24"/>
        <v>-0.010394072505386768</v>
      </c>
      <c r="K22" s="49">
        <f t="shared" si="3"/>
        <v>6.111150981025818E-05</v>
      </c>
      <c r="L22" s="49">
        <f t="shared" si="4"/>
        <v>4.0158315286726684E-07</v>
      </c>
      <c r="M22" s="49">
        <f t="shared" si="25"/>
        <v>0.0010245391813920883</v>
      </c>
      <c r="N22" s="49">
        <f t="shared" si="20"/>
        <v>0.11306159121991102</v>
      </c>
      <c r="O22" s="49">
        <f t="shared" si="5"/>
        <v>2.14630535011473E-08</v>
      </c>
      <c r="P22" s="205">
        <f t="shared" si="6"/>
        <v>5.006190046751059</v>
      </c>
      <c r="Q22" s="49">
        <f t="shared" si="7"/>
        <v>1</v>
      </c>
      <c r="R22" s="197">
        <f t="shared" si="8"/>
        <v>0.413855428161519</v>
      </c>
      <c r="S22" s="53">
        <f t="shared" si="26"/>
        <v>4.936641163133904</v>
      </c>
      <c r="T22" s="49">
        <f t="shared" si="9"/>
        <v>2.416434426391353</v>
      </c>
      <c r="U22" s="49">
        <f t="shared" si="10"/>
        <v>4.520206736742551</v>
      </c>
      <c r="V22" s="54">
        <f t="shared" si="11"/>
        <v>1.0633588368660956</v>
      </c>
      <c r="W22" s="97">
        <f t="shared" si="12"/>
        <v>-10.336479901303932</v>
      </c>
      <c r="X22" s="25">
        <f t="shared" si="27"/>
        <v>-0.2044955566185398</v>
      </c>
      <c r="Y22" s="23">
        <f t="shared" si="13"/>
        <v>6.762816496538772</v>
      </c>
      <c r="Z22" s="23">
        <f t="shared" si="14"/>
        <v>1.7566264497877127</v>
      </c>
      <c r="AA22" s="205">
        <f>ERF(AH22)+ERF(AI22)-1</f>
        <v>0.4563368368902323</v>
      </c>
      <c r="AB22" s="52">
        <f t="shared" si="15"/>
        <v>6</v>
      </c>
      <c r="AC22" s="136">
        <f t="shared" si="21"/>
        <v>0.3</v>
      </c>
      <c r="AD22" s="137">
        <f t="shared" si="28"/>
        <v>7.9</v>
      </c>
      <c r="AE22" s="199">
        <f t="shared" si="22"/>
        <v>0</v>
      </c>
      <c r="AF22" s="154">
        <f t="shared" si="16"/>
        <v>0.8151075634866085</v>
      </c>
      <c r="AG22" s="177">
        <f>IF(ABS(AF22)&lt;10,SIGN(AF22)*ERF(ABS(AF22)),SIGN(AF22))</f>
        <v>0.7509811326575291</v>
      </c>
      <c r="AH22" s="193">
        <f t="shared" si="17"/>
        <v>1.0361536823982311</v>
      </c>
      <c r="AI22" s="193">
        <f t="shared" si="18"/>
        <v>0.5940614445749859</v>
      </c>
    </row>
    <row r="23" spans="1:35" s="26" customFormat="1" ht="15" customHeight="1">
      <c r="A23" s="262">
        <f t="shared" si="23"/>
        <v>0.2800000000000001</v>
      </c>
      <c r="B23" s="271">
        <f t="shared" si="29"/>
        <v>-1.6333553808052477</v>
      </c>
      <c r="C23" s="128">
        <f t="shared" si="30"/>
        <v>0.013367200000000003</v>
      </c>
      <c r="D23" s="143">
        <f t="shared" si="31"/>
        <v>184652.28501854505</v>
      </c>
      <c r="E23" s="143">
        <f t="shared" si="32"/>
        <v>1785.714285714285</v>
      </c>
      <c r="F23" s="105">
        <f t="shared" si="19"/>
        <v>308.7125480094233</v>
      </c>
      <c r="G23" s="105">
        <f t="shared" si="0"/>
        <v>335.59201018270755</v>
      </c>
      <c r="H23" s="50">
        <f t="shared" si="1"/>
        <v>3.1868009371899397</v>
      </c>
      <c r="I23" s="49">
        <f t="shared" si="2"/>
        <v>0.43185792366510706</v>
      </c>
      <c r="J23" s="49">
        <f t="shared" si="24"/>
        <v>-0.010779038153734426</v>
      </c>
      <c r="K23" s="49">
        <f t="shared" si="3"/>
        <v>6.572184970394526E-05</v>
      </c>
      <c r="L23" s="49">
        <f t="shared" si="4"/>
        <v>4.6446075163819003E-07</v>
      </c>
      <c r="M23" s="49">
        <f t="shared" si="25"/>
        <v>0.0010012157316173003</v>
      </c>
      <c r="N23" s="49">
        <f t="shared" si="20"/>
        <v>0.11042118676921349</v>
      </c>
      <c r="O23" s="49">
        <f t="shared" si="5"/>
        <v>2.4229031864164696E-08</v>
      </c>
      <c r="P23" s="205">
        <f t="shared" si="6"/>
        <v>5.006190046751059</v>
      </c>
      <c r="Q23" s="49">
        <f t="shared" si="7"/>
        <v>1</v>
      </c>
      <c r="R23" s="197">
        <f t="shared" si="8"/>
        <v>0.41626423046452476</v>
      </c>
      <c r="S23" s="53">
        <f t="shared" si="26"/>
        <v>5.145344766778568</v>
      </c>
      <c r="T23" s="49">
        <f t="shared" si="9"/>
        <v>2.431857923665107</v>
      </c>
      <c r="U23" s="49">
        <f t="shared" si="10"/>
        <v>4.713486843113461</v>
      </c>
      <c r="V23" s="54">
        <f t="shared" si="11"/>
        <v>0.8546552332214317</v>
      </c>
      <c r="W23" s="97">
        <f t="shared" si="12"/>
        <v>-10.354312200880692</v>
      </c>
      <c r="X23" s="25">
        <f t="shared" si="27"/>
        <v>-0.21307945366093506</v>
      </c>
      <c r="Y23" s="23">
        <f t="shared" si="13"/>
        <v>6.762816496538772</v>
      </c>
      <c r="Z23" s="23">
        <f t="shared" si="14"/>
        <v>1.7566264497877127</v>
      </c>
      <c r="AA23" s="205">
        <f>ERF(AH23)+ERF(AI23)-1</f>
        <v>0.4362078563825307</v>
      </c>
      <c r="AB23" s="52">
        <f t="shared" si="15"/>
        <v>6</v>
      </c>
      <c r="AC23" s="136">
        <f t="shared" si="21"/>
        <v>0.3</v>
      </c>
      <c r="AD23" s="137">
        <f t="shared" si="28"/>
        <v>7.9</v>
      </c>
      <c r="AE23" s="199">
        <f t="shared" si="22"/>
        <v>0</v>
      </c>
      <c r="AF23" s="154">
        <f t="shared" si="16"/>
        <v>0.796551786740034</v>
      </c>
      <c r="AG23" s="177">
        <f>IF(ABS(AF23)&lt;10,SIGN(AF23)*ERF(ABS(AF23)),SIGN(AF23))</f>
        <v>0.740043477981458</v>
      </c>
      <c r="AH23" s="193">
        <f t="shared" si="17"/>
        <v>1.012565830601738</v>
      </c>
      <c r="AI23" s="193">
        <f t="shared" si="18"/>
        <v>0.5805377428783299</v>
      </c>
    </row>
    <row r="24" spans="1:35" s="26" customFormat="1" ht="15" customHeight="1">
      <c r="A24" s="262">
        <f t="shared" si="23"/>
        <v>0.2900000000000001</v>
      </c>
      <c r="B24" s="271">
        <f t="shared" si="29"/>
        <v>-1.6916895015482922</v>
      </c>
      <c r="C24" s="128">
        <f t="shared" si="30"/>
        <v>0.013844600000000004</v>
      </c>
      <c r="D24" s="143">
        <f t="shared" si="31"/>
        <v>178284.96484549175</v>
      </c>
      <c r="E24" s="143">
        <f t="shared" si="32"/>
        <v>1724.137931034482</v>
      </c>
      <c r="F24" s="105">
        <f t="shared" si="19"/>
        <v>317.10731398321633</v>
      </c>
      <c r="G24" s="105">
        <f t="shared" si="0"/>
        <v>343.3301742953132</v>
      </c>
      <c r="H24" s="50">
        <f t="shared" si="1"/>
        <v>3.388525133611646</v>
      </c>
      <c r="I24" s="49">
        <f t="shared" si="2"/>
        <v>0.44728142093886086</v>
      </c>
      <c r="J24" s="49">
        <f t="shared" si="24"/>
        <v>-0.011164003802082084</v>
      </c>
      <c r="K24" s="49">
        <f t="shared" si="3"/>
        <v>7.049979866813257E-05</v>
      </c>
      <c r="L24" s="49">
        <f t="shared" si="4"/>
        <v>5.344477149780337E-07</v>
      </c>
      <c r="M24" s="49">
        <f t="shared" si="25"/>
        <v>0.0009786497813355367</v>
      </c>
      <c r="N24" s="49">
        <f t="shared" si="20"/>
        <v>0.10786958968438129</v>
      </c>
      <c r="O24" s="49">
        <f t="shared" si="5"/>
        <v>2.721959183049627E-08</v>
      </c>
      <c r="P24" s="205">
        <f t="shared" si="6"/>
        <v>5.006190046751059</v>
      </c>
      <c r="Q24" s="49">
        <f t="shared" si="7"/>
        <v>1</v>
      </c>
      <c r="R24" s="197">
        <f t="shared" si="8"/>
        <v>0.4191233645535797</v>
      </c>
      <c r="S24" s="53">
        <f t="shared" si="26"/>
        <v>5.362800070455775</v>
      </c>
      <c r="T24" s="49">
        <f t="shared" si="9"/>
        <v>2.447281420938861</v>
      </c>
      <c r="U24" s="49">
        <f t="shared" si="10"/>
        <v>4.915518649516914</v>
      </c>
      <c r="V24" s="54">
        <f t="shared" si="11"/>
        <v>0.6371999295442254</v>
      </c>
      <c r="W24" s="97">
        <f t="shared" si="12"/>
        <v>-10.3725948322435</v>
      </c>
      <c r="X24" s="25">
        <f t="shared" si="27"/>
        <v>-0.2220330382444735</v>
      </c>
      <c r="Y24" s="23">
        <f t="shared" si="13"/>
        <v>6.762816496538772</v>
      </c>
      <c r="Z24" s="23">
        <f t="shared" si="14"/>
        <v>1.7566264497877127</v>
      </c>
      <c r="AA24" s="205">
        <f>ERF(AH24)+ERF(AI24)-1</f>
        <v>0.41613586764713983</v>
      </c>
      <c r="AB24" s="52">
        <f t="shared" si="15"/>
        <v>6</v>
      </c>
      <c r="AC24" s="136">
        <f t="shared" si="21"/>
        <v>0.3</v>
      </c>
      <c r="AD24" s="137">
        <f t="shared" si="28"/>
        <v>7.9</v>
      </c>
      <c r="AE24" s="199">
        <f t="shared" si="22"/>
        <v>0</v>
      </c>
      <c r="AF24" s="154">
        <f t="shared" si="16"/>
        <v>0.778598664901457</v>
      </c>
      <c r="AG24" s="177">
        <f>IF(ABS(AF24)&lt;10,SIGN(AF24)*ERF(ABS(AF24)),SIGN(AF24))</f>
        <v>0.7291487491831148</v>
      </c>
      <c r="AH24" s="193">
        <f t="shared" si="17"/>
        <v>0.9897440655526994</v>
      </c>
      <c r="AI24" s="193">
        <f t="shared" si="18"/>
        <v>0.5674532642502145</v>
      </c>
    </row>
    <row r="25" spans="1:35" s="20" customFormat="1" ht="15" customHeight="1">
      <c r="A25" s="261">
        <f t="shared" si="23"/>
        <v>0.3000000000000001</v>
      </c>
      <c r="B25" s="270">
        <f t="shared" si="29"/>
        <v>-1.7500236222913368</v>
      </c>
      <c r="C25" s="127">
        <f t="shared" si="30"/>
        <v>0.014322000000000005</v>
      </c>
      <c r="D25" s="142">
        <f t="shared" si="31"/>
        <v>172342.1326839754</v>
      </c>
      <c r="E25" s="142">
        <f t="shared" si="32"/>
        <v>1666.666666666666</v>
      </c>
      <c r="F25" s="104">
        <f t="shared" si="19"/>
        <v>325.5687286930919</v>
      </c>
      <c r="G25" s="104">
        <f t="shared" si="0"/>
        <v>351.1603011486863</v>
      </c>
      <c r="H25" s="98">
        <f t="shared" si="1"/>
        <v>3.598773724353499</v>
      </c>
      <c r="I25" s="95">
        <f t="shared" si="2"/>
        <v>0.4627049182126147</v>
      </c>
      <c r="J25" s="95">
        <f t="shared" si="24"/>
        <v>-0.011548969450429743</v>
      </c>
      <c r="K25" s="95">
        <f t="shared" si="3"/>
        <v>7.544535245465236E-05</v>
      </c>
      <c r="L25" s="95">
        <f t="shared" si="4"/>
        <v>6.120606539093538E-07</v>
      </c>
      <c r="M25" s="95">
        <f t="shared" si="25"/>
        <v>0.0009568279754314619</v>
      </c>
      <c r="N25" s="95">
        <f t="shared" si="20"/>
        <v>0.1054049834638541</v>
      </c>
      <c r="O25" s="95">
        <f t="shared" si="5"/>
        <v>3.0442793397256196E-08</v>
      </c>
      <c r="P25" s="207">
        <f t="shared" si="6"/>
        <v>5.006190046751059</v>
      </c>
      <c r="Q25" s="95">
        <f t="shared" si="7"/>
        <v>1</v>
      </c>
      <c r="R25" s="196">
        <f t="shared" si="8"/>
        <v>0.42252657473410027</v>
      </c>
      <c r="S25" s="96">
        <f t="shared" si="26"/>
        <v>5.589410843267515</v>
      </c>
      <c r="T25" s="95">
        <f t="shared" si="9"/>
        <v>2.462704918212615</v>
      </c>
      <c r="U25" s="95">
        <f t="shared" si="10"/>
        <v>5.1267059250549005</v>
      </c>
      <c r="V25" s="100">
        <f t="shared" si="11"/>
        <v>0.41058915673248464</v>
      </c>
      <c r="W25" s="101">
        <f t="shared" si="12"/>
        <v>-10.391421539697774</v>
      </c>
      <c r="X25" s="27">
        <f t="shared" si="27"/>
        <v>-0.2314312279869033</v>
      </c>
      <c r="Y25" s="18">
        <f t="shared" si="13"/>
        <v>6.762816496538772</v>
      </c>
      <c r="Z25" s="18">
        <f t="shared" si="14"/>
        <v>1.7566264497877127</v>
      </c>
      <c r="AA25" s="207">
        <f>ERF(AH25)+ERF(AI25)-1</f>
        <v>0.39615940441857456</v>
      </c>
      <c r="AB25" s="99">
        <f t="shared" si="15"/>
        <v>6</v>
      </c>
      <c r="AC25" s="183">
        <f t="shared" si="21"/>
        <v>0.3</v>
      </c>
      <c r="AD25" s="184">
        <f t="shared" si="28"/>
        <v>7.9</v>
      </c>
      <c r="AE25" s="198">
        <f t="shared" si="22"/>
        <v>0.41058915673248464</v>
      </c>
      <c r="AF25" s="153">
        <f t="shared" si="16"/>
        <v>0.7612375728471932</v>
      </c>
      <c r="AG25" s="176">
        <f>IF(ABS(AF25)&lt;10,SIGN(AF25)*ERF(ABS(AF25)),SIGN(AF25))</f>
        <v>0.7183195522144822</v>
      </c>
      <c r="AH25" s="191">
        <f t="shared" si="17"/>
        <v>0.9676748807379574</v>
      </c>
      <c r="AI25" s="191">
        <f t="shared" si="18"/>
        <v>0.554800264956429</v>
      </c>
    </row>
    <row r="26" spans="1:35" s="26" customFormat="1" ht="15" customHeight="1">
      <c r="A26" s="262">
        <f t="shared" si="23"/>
        <v>0.3100000000000001</v>
      </c>
      <c r="B26" s="271">
        <f t="shared" si="29"/>
        <v>-1.8083577430343813</v>
      </c>
      <c r="C26" s="128">
        <f t="shared" si="30"/>
        <v>0.014799400000000004</v>
      </c>
      <c r="D26" s="143">
        <f t="shared" si="31"/>
        <v>166782.7090490084</v>
      </c>
      <c r="E26" s="143">
        <f t="shared" si="32"/>
        <v>1612.903225806451</v>
      </c>
      <c r="F26" s="105">
        <f t="shared" si="19"/>
        <v>334.0917282155131</v>
      </c>
      <c r="G26" s="105">
        <f t="shared" si="0"/>
        <v>359.0763746921096</v>
      </c>
      <c r="H26" s="50">
        <f t="shared" si="1"/>
        <v>3.8179306455106934</v>
      </c>
      <c r="I26" s="49">
        <f t="shared" si="2"/>
        <v>0.47812841548636853</v>
      </c>
      <c r="J26" s="49">
        <f t="shared" si="24"/>
        <v>-0.011933935098777401</v>
      </c>
      <c r="K26" s="49">
        <f t="shared" si="3"/>
        <v>8.055850666630368E-05</v>
      </c>
      <c r="L26" s="49">
        <f t="shared" si="4"/>
        <v>6.978342826959786E-07</v>
      </c>
      <c r="M26" s="49">
        <f t="shared" si="25"/>
        <v>0.0009357340768746023</v>
      </c>
      <c r="N26" s="49">
        <f t="shared" si="20"/>
        <v>0.1030252447715166</v>
      </c>
      <c r="O26" s="49">
        <f t="shared" si="5"/>
        <v>3.390665635760737E-08</v>
      </c>
      <c r="P26" s="205">
        <f t="shared" si="6"/>
        <v>5.006190046751059</v>
      </c>
      <c r="Q26" s="49">
        <f t="shared" si="7"/>
        <v>1</v>
      </c>
      <c r="R26" s="197">
        <f t="shared" si="8"/>
        <v>0.42657748892006353</v>
      </c>
      <c r="S26" s="53">
        <f t="shared" si="26"/>
        <v>5.825662526429581</v>
      </c>
      <c r="T26" s="49">
        <f t="shared" si="9"/>
        <v>2.4781284154863688</v>
      </c>
      <c r="U26" s="49">
        <f t="shared" si="10"/>
        <v>5.347534110943212</v>
      </c>
      <c r="V26" s="54">
        <f t="shared" si="11"/>
        <v>0.17433747357041884</v>
      </c>
      <c r="W26" s="97">
        <f t="shared" si="12"/>
        <v>-10.410895951157492</v>
      </c>
      <c r="X26" s="25">
        <f t="shared" si="27"/>
        <v>-0.2413611449239701</v>
      </c>
      <c r="Y26" s="23">
        <f t="shared" si="13"/>
        <v>6.762816496538772</v>
      </c>
      <c r="Z26" s="23">
        <f t="shared" si="14"/>
        <v>1.7566264497877127</v>
      </c>
      <c r="AA26" s="205">
        <f>ERF(AH26)+ERF(AI26)-1</f>
        <v>0.3763129696436547</v>
      </c>
      <c r="AB26" s="52">
        <f t="shared" si="15"/>
        <v>6</v>
      </c>
      <c r="AC26" s="136">
        <f t="shared" si="21"/>
        <v>0.3</v>
      </c>
      <c r="AD26" s="137">
        <f t="shared" si="28"/>
        <v>7.9</v>
      </c>
      <c r="AE26" s="199">
        <f t="shared" si="22"/>
        <v>0</v>
      </c>
      <c r="AF26" s="154">
        <f t="shared" si="16"/>
        <v>0.7444555926463448</v>
      </c>
      <c r="AG26" s="177">
        <f>IF(ABS(AF26)&lt;10,SIGN(AF26)*ERF(ABS(AF26)),SIGN(AF26))</f>
        <v>0.7075759048692001</v>
      </c>
      <c r="AH26" s="193">
        <f t="shared" si="17"/>
        <v>0.9463418550589128</v>
      </c>
      <c r="AI26" s="193">
        <f t="shared" si="18"/>
        <v>0.5425693302337767</v>
      </c>
    </row>
    <row r="27" spans="1:35" s="26" customFormat="1" ht="15" customHeight="1">
      <c r="A27" s="262">
        <f t="shared" si="23"/>
        <v>0.3200000000000001</v>
      </c>
      <c r="B27" s="271">
        <f t="shared" si="29"/>
        <v>-1.8666918637774261</v>
      </c>
      <c r="C27" s="128">
        <f t="shared" si="30"/>
        <v>0.015276800000000005</v>
      </c>
      <c r="D27" s="143">
        <f t="shared" si="31"/>
        <v>161570.74939122688</v>
      </c>
      <c r="E27" s="143">
        <f t="shared" si="32"/>
        <v>1562.4999999999993</v>
      </c>
      <c r="F27" s="105">
        <f t="shared" si="19"/>
        <v>342.6717173319485</v>
      </c>
      <c r="G27" s="105">
        <f t="shared" si="0"/>
        <v>367.07283454271965</v>
      </c>
      <c r="H27" s="50">
        <f t="shared" si="1"/>
        <v>4.046462880730921</v>
      </c>
      <c r="I27" s="49">
        <f t="shared" si="2"/>
        <v>0.4935519127601224</v>
      </c>
      <c r="J27" s="49">
        <f t="shared" si="24"/>
        <v>-0.01231890074712506</v>
      </c>
      <c r="K27" s="49">
        <f t="shared" si="3"/>
        <v>8.58392567569152E-05</v>
      </c>
      <c r="L27" s="49">
        <f t="shared" si="4"/>
        <v>7.923214149743509E-07</v>
      </c>
      <c r="M27" s="49">
        <f t="shared" si="25"/>
        <v>0.0009153496755448312</v>
      </c>
      <c r="N27" s="49">
        <f t="shared" si="20"/>
        <v>0.10072802425928834</v>
      </c>
      <c r="O27" s="49">
        <f t="shared" si="5"/>
        <v>3.761917050093544E-08</v>
      </c>
      <c r="P27" s="205">
        <f t="shared" si="6"/>
        <v>5.006190046751059</v>
      </c>
      <c r="Q27" s="49">
        <f t="shared" si="7"/>
        <v>1</v>
      </c>
      <c r="R27" s="197">
        <f t="shared" si="8"/>
        <v>0.43138948542453814</v>
      </c>
      <c r="S27" s="53">
        <f t="shared" si="26"/>
        <v>6.0721331331154555</v>
      </c>
      <c r="T27" s="49">
        <f t="shared" si="9"/>
        <v>2.4935519127601222</v>
      </c>
      <c r="U27" s="49">
        <f t="shared" si="10"/>
        <v>5.578581220355333</v>
      </c>
      <c r="V27" s="54">
        <f t="shared" si="11"/>
        <v>-0.07213313311545555</v>
      </c>
      <c r="W27" s="97">
        <f t="shared" si="12"/>
        <v>-10.431131444935719</v>
      </c>
      <c r="X27" s="25">
        <f t="shared" si="27"/>
        <v>-0.2519252946853481</v>
      </c>
      <c r="Y27" s="23">
        <f t="shared" si="13"/>
        <v>6.762816496538772</v>
      </c>
      <c r="Z27" s="23">
        <f t="shared" si="14"/>
        <v>1.7566264497877127</v>
      </c>
      <c r="AA27" s="205">
        <f>ERF(AH27)+ERF(AI27)-1</f>
        <v>0.3566274460117851</v>
      </c>
      <c r="AB27" s="52">
        <f t="shared" si="15"/>
        <v>6</v>
      </c>
      <c r="AC27" s="136">
        <f t="shared" si="21"/>
        <v>0.3</v>
      </c>
      <c r="AD27" s="137">
        <f t="shared" si="28"/>
        <v>7.9</v>
      </c>
      <c r="AE27" s="199">
        <f t="shared" si="22"/>
        <v>0</v>
      </c>
      <c r="AF27" s="154">
        <f t="shared" si="16"/>
        <v>0.7282380774914176</v>
      </c>
      <c r="AG27" s="177">
        <f>IF(ABS(AF27)&lt;10,SIGN(AF27)*ERF(ABS(AF27)),SIGN(AF27))</f>
        <v>0.6969353667948379</v>
      </c>
      <c r="AH27" s="193">
        <f t="shared" si="17"/>
        <v>0.9257263696924799</v>
      </c>
      <c r="AI27" s="193">
        <f t="shared" si="18"/>
        <v>0.5307497852903552</v>
      </c>
    </row>
    <row r="28" spans="1:35" s="26" customFormat="1" ht="15" customHeight="1">
      <c r="A28" s="262">
        <f t="shared" si="23"/>
        <v>0.3300000000000001</v>
      </c>
      <c r="B28" s="271">
        <f t="shared" si="29"/>
        <v>-1.9250259845204707</v>
      </c>
      <c r="C28" s="128">
        <f t="shared" si="30"/>
        <v>0.015754200000000006</v>
      </c>
      <c r="D28" s="143">
        <f t="shared" si="31"/>
        <v>156674.6660763412</v>
      </c>
      <c r="E28" s="143">
        <f t="shared" si="32"/>
        <v>1515.1515151515146</v>
      </c>
      <c r="F28" s="105">
        <f t="shared" si="19"/>
        <v>351.3045204582936</v>
      </c>
      <c r="G28" s="105">
        <f t="shared" si="0"/>
        <v>375.1445402700559</v>
      </c>
      <c r="H28" s="50">
        <f t="shared" si="1"/>
        <v>4.284933679870343</v>
      </c>
      <c r="I28" s="49">
        <f t="shared" si="2"/>
        <v>0.5089754100338763</v>
      </c>
      <c r="J28" s="49">
        <f t="shared" si="24"/>
        <v>-0.01270386639547272</v>
      </c>
      <c r="K28" s="49">
        <f t="shared" si="3"/>
        <v>9.128759803140807E-05</v>
      </c>
      <c r="L28" s="49">
        <f t="shared" si="4"/>
        <v>8.960929637409909E-07</v>
      </c>
      <c r="M28" s="49">
        <f t="shared" si="25"/>
        <v>0.0008956547781772943</v>
      </c>
      <c r="N28" s="49">
        <f t="shared" si="20"/>
        <v>0.0985108133612117</v>
      </c>
      <c r="O28" s="49">
        <f t="shared" si="5"/>
        <v>4.158829126910124E-08</v>
      </c>
      <c r="P28" s="205">
        <f t="shared" si="6"/>
        <v>5.006190046751059</v>
      </c>
      <c r="Q28" s="49">
        <f t="shared" si="7"/>
        <v>1</v>
      </c>
      <c r="R28" s="197">
        <f t="shared" si="8"/>
        <v>0.43709227485359214</v>
      </c>
      <c r="S28" s="53">
        <f t="shared" si="26"/>
        <v>6.329513115800277</v>
      </c>
      <c r="T28" s="49">
        <f t="shared" si="9"/>
        <v>2.508975410033876</v>
      </c>
      <c r="U28" s="49">
        <f t="shared" si="10"/>
        <v>5.820537705766401</v>
      </c>
      <c r="V28" s="54">
        <f t="shared" si="11"/>
        <v>-0.3295131158002773</v>
      </c>
      <c r="W28" s="97">
        <f t="shared" si="12"/>
        <v>-10.452257731638529</v>
      </c>
      <c r="X28" s="25">
        <f t="shared" si="27"/>
        <v>-0.2632459103872611</v>
      </c>
      <c r="Y28" s="23">
        <f t="shared" si="13"/>
        <v>6.762816496538772</v>
      </c>
      <c r="Z28" s="23">
        <f t="shared" si="14"/>
        <v>1.7566264497877127</v>
      </c>
      <c r="AA28" s="205">
        <f>ERF(AH28)+ERF(AI28)-1</f>
        <v>0.3371300030781197</v>
      </c>
      <c r="AB28" s="52">
        <f t="shared" si="15"/>
        <v>6</v>
      </c>
      <c r="AC28" s="136">
        <f t="shared" si="21"/>
        <v>0.3</v>
      </c>
      <c r="AD28" s="137">
        <f t="shared" si="28"/>
        <v>7.9</v>
      </c>
      <c r="AE28" s="199">
        <f t="shared" si="22"/>
        <v>0</v>
      </c>
      <c r="AF28" s="154">
        <f t="shared" si="16"/>
        <v>0.712569121049401</v>
      </c>
      <c r="AG28" s="177">
        <f>IF(ABS(AF28)&lt;10,SIGN(AF28)*ERF(ABS(AF28)),SIGN(AF28))</f>
        <v>0.6864131891234604</v>
      </c>
      <c r="AH28" s="193">
        <f t="shared" si="17"/>
        <v>0.9058082047238147</v>
      </c>
      <c r="AI28" s="193">
        <f t="shared" si="18"/>
        <v>0.5193300373749872</v>
      </c>
    </row>
    <row r="29" spans="1:35" s="26" customFormat="1" ht="15" customHeight="1">
      <c r="A29" s="262">
        <f t="shared" si="23"/>
        <v>0.34000000000000014</v>
      </c>
      <c r="B29" s="271">
        <f t="shared" si="29"/>
        <v>-1.9833601052635152</v>
      </c>
      <c r="C29" s="128">
        <f t="shared" si="30"/>
        <v>0.016231600000000006</v>
      </c>
      <c r="D29" s="143">
        <f t="shared" si="31"/>
        <v>152066.58766233118</v>
      </c>
      <c r="E29" s="143">
        <f t="shared" si="32"/>
        <v>1470.588235294117</v>
      </c>
      <c r="F29" s="105">
        <f t="shared" si="19"/>
        <v>359.98633802915737</v>
      </c>
      <c r="G29" s="105">
        <f t="shared" si="0"/>
        <v>383.28673805343533</v>
      </c>
      <c r="H29" s="50">
        <f t="shared" si="1"/>
        <v>4.534011801289187</v>
      </c>
      <c r="I29" s="49">
        <f t="shared" si="2"/>
        <v>0.5243989073076301</v>
      </c>
      <c r="J29" s="49">
        <f t="shared" si="24"/>
        <v>-0.013088832043820378</v>
      </c>
      <c r="K29" s="49">
        <f t="shared" si="3"/>
        <v>9.690352564560741E-05</v>
      </c>
      <c r="L29" s="49">
        <f t="shared" si="4"/>
        <v>1.0097379403743575E-06</v>
      </c>
      <c r="M29" s="49">
        <f t="shared" si="25"/>
        <v>0.0008766282958455952</v>
      </c>
      <c r="N29" s="49">
        <f t="shared" si="20"/>
        <v>0.09637099907102141</v>
      </c>
      <c r="O29" s="49">
        <f t="shared" si="5"/>
        <v>4.582195062274863E-08</v>
      </c>
      <c r="P29" s="205">
        <f t="shared" si="6"/>
        <v>5.006190046751059</v>
      </c>
      <c r="Q29" s="49">
        <f t="shared" si="7"/>
        <v>1</v>
      </c>
      <c r="R29" s="197">
        <f t="shared" si="8"/>
        <v>0.44384219066224784</v>
      </c>
      <c r="S29" s="53">
        <f t="shared" si="26"/>
        <v>6.598624953889978</v>
      </c>
      <c r="T29" s="49">
        <f t="shared" si="9"/>
        <v>2.52439890730763</v>
      </c>
      <c r="U29" s="49">
        <f t="shared" si="10"/>
        <v>6.074226046582348</v>
      </c>
      <c r="V29" s="54">
        <f t="shared" si="11"/>
        <v>-0.5986249538899777</v>
      </c>
      <c r="W29" s="97">
        <f t="shared" si="12"/>
        <v>-10.474431144720937</v>
      </c>
      <c r="X29" s="25">
        <f t="shared" si="27"/>
        <v>-0.27546731972206295</v>
      </c>
      <c r="Y29" s="23">
        <f t="shared" si="13"/>
        <v>6.762816496538772</v>
      </c>
      <c r="Z29" s="23">
        <f t="shared" si="14"/>
        <v>1.7566264497877127</v>
      </c>
      <c r="AA29" s="205">
        <f>ERF(AH29)+ERF(AI29)-1</f>
        <v>0.3178444268360945</v>
      </c>
      <c r="AB29" s="52">
        <f t="shared" si="15"/>
        <v>6</v>
      </c>
      <c r="AC29" s="136">
        <f t="shared" si="21"/>
        <v>0.3</v>
      </c>
      <c r="AD29" s="137">
        <f t="shared" si="28"/>
        <v>7.9</v>
      </c>
      <c r="AE29" s="199">
        <f t="shared" si="22"/>
        <v>0</v>
      </c>
      <c r="AF29" s="154">
        <f t="shared" si="16"/>
        <v>0.6974319452958685</v>
      </c>
      <c r="AG29" s="177">
        <f>IF(ABS(AF29)&lt;10,SIGN(AF29)*ERF(ABS(AF29)),SIGN(AF29))</f>
        <v>0.6760227591290994</v>
      </c>
      <c r="AH29" s="193">
        <f t="shared" si="17"/>
        <v>0.886566032155765</v>
      </c>
      <c r="AI29" s="193">
        <f t="shared" si="18"/>
        <v>0.508297858435972</v>
      </c>
    </row>
    <row r="30" spans="1:35" s="20" customFormat="1" ht="15" customHeight="1">
      <c r="A30" s="261">
        <f t="shared" si="23"/>
        <v>0.35000000000000014</v>
      </c>
      <c r="B30" s="270">
        <f t="shared" si="29"/>
        <v>-2.04169422600656</v>
      </c>
      <c r="C30" s="127">
        <f t="shared" si="30"/>
        <v>0.016709000000000005</v>
      </c>
      <c r="D30" s="142">
        <f t="shared" si="31"/>
        <v>147721.82801483604</v>
      </c>
      <c r="E30" s="142">
        <f t="shared" si="32"/>
        <v>1428.571428571428</v>
      </c>
      <c r="F30" s="104">
        <f t="shared" si="19"/>
        <v>368.7137077447219</v>
      </c>
      <c r="G30" s="104">
        <f t="shared" si="0"/>
        <v>391.4950296987948</v>
      </c>
      <c r="H30" s="98">
        <f t="shared" si="1"/>
        <v>4.794518407600494</v>
      </c>
      <c r="I30" s="95">
        <f t="shared" si="2"/>
        <v>0.5398224045813839</v>
      </c>
      <c r="J30" s="95">
        <f t="shared" si="24"/>
        <v>-0.013473797692168036</v>
      </c>
      <c r="K30" s="95">
        <f t="shared" si="3"/>
        <v>0.0001026870346064936</v>
      </c>
      <c r="L30" s="95">
        <f t="shared" si="4"/>
        <v>1.1338634497980462E-06</v>
      </c>
      <c r="M30" s="95">
        <f t="shared" si="25"/>
        <v>0.0008582484438142392</v>
      </c>
      <c r="N30" s="95">
        <f t="shared" si="20"/>
        <v>0.09430590850444903</v>
      </c>
      <c r="O30" s="95">
        <f t="shared" si="5"/>
        <v>5.0328060025028876E-08</v>
      </c>
      <c r="P30" s="207">
        <f t="shared" si="6"/>
        <v>5.006190046751059</v>
      </c>
      <c r="Q30" s="95">
        <f t="shared" si="7"/>
        <v>1</v>
      </c>
      <c r="R30" s="196">
        <f t="shared" si="8"/>
        <v>0.4517998503665668</v>
      </c>
      <c r="S30" s="96">
        <f t="shared" si="26"/>
        <v>6.880447755244403</v>
      </c>
      <c r="T30" s="95">
        <f t="shared" si="9"/>
        <v>2.539822404581384</v>
      </c>
      <c r="U30" s="95">
        <f t="shared" si="10"/>
        <v>6.34062535066302</v>
      </c>
      <c r="V30" s="100">
        <f t="shared" si="11"/>
        <v>-0.8804477552444032</v>
      </c>
      <c r="W30" s="101">
        <f t="shared" si="12"/>
        <v>-10.49781230169901</v>
      </c>
      <c r="X30" s="27">
        <f t="shared" si="27"/>
        <v>-0.28876457982755444</v>
      </c>
      <c r="Y30" s="18">
        <f t="shared" si="13"/>
        <v>6.762816496538772</v>
      </c>
      <c r="Z30" s="18">
        <f t="shared" si="14"/>
        <v>1.7566264497877127</v>
      </c>
      <c r="AA30" s="207">
        <f>ERF(AH30)+ERF(AI30)-1</f>
        <v>0.29879145573708366</v>
      </c>
      <c r="AB30" s="99">
        <f t="shared" si="15"/>
        <v>6</v>
      </c>
      <c r="AC30" s="183">
        <f t="shared" si="21"/>
        <v>0.3</v>
      </c>
      <c r="AD30" s="184">
        <f t="shared" si="28"/>
        <v>7.9</v>
      </c>
      <c r="AE30" s="198">
        <f t="shared" si="22"/>
        <v>0</v>
      </c>
      <c r="AF30" s="153">
        <f t="shared" si="16"/>
        <v>0.6828092186314118</v>
      </c>
      <c r="AG30" s="176">
        <f>IF(ABS(AF30)&lt;10,SIGN(AF30)*ERF(ABS(AF30)),SIGN(AF30))</f>
        <v>0.6657746667635106</v>
      </c>
      <c r="AH30" s="191">
        <f t="shared" si="17"/>
        <v>0.8679778202941675</v>
      </c>
      <c r="AI30" s="191">
        <f t="shared" si="18"/>
        <v>0.4976406169686561</v>
      </c>
    </row>
    <row r="31" spans="1:35" s="26" customFormat="1" ht="15" customHeight="1">
      <c r="A31" s="262">
        <f t="shared" si="23"/>
        <v>0.36000000000000015</v>
      </c>
      <c r="B31" s="271">
        <f t="shared" si="29"/>
        <v>-2.1000283467496046</v>
      </c>
      <c r="C31" s="128">
        <f t="shared" si="30"/>
        <v>0.017186400000000008</v>
      </c>
      <c r="D31" s="143">
        <f t="shared" si="31"/>
        <v>143618.44390331276</v>
      </c>
      <c r="E31" s="143">
        <f t="shared" si="32"/>
        <v>1388.8888888888882</v>
      </c>
      <c r="F31" s="105">
        <f t="shared" si="19"/>
        <v>377.483470138871</v>
      </c>
      <c r="G31" s="105">
        <f t="shared" si="0"/>
        <v>399.765343955781</v>
      </c>
      <c r="H31" s="50">
        <f t="shared" si="1"/>
        <v>5.0674142169850445</v>
      </c>
      <c r="I31" s="49">
        <f t="shared" si="2"/>
        <v>0.5552459018551377</v>
      </c>
      <c r="J31" s="49">
        <f t="shared" si="24"/>
        <v>-0.013858763340515693</v>
      </c>
      <c r="K31" s="49">
        <f t="shared" si="3"/>
        <v>0.00010863811977201385</v>
      </c>
      <c r="L31" s="49">
        <f t="shared" si="4"/>
        <v>1.2690946866068754E-06</v>
      </c>
      <c r="M31" s="49">
        <f t="shared" si="25"/>
        <v>0.0008404930669457073</v>
      </c>
      <c r="N31" s="49">
        <f t="shared" si="20"/>
        <v>0.0923128448350289</v>
      </c>
      <c r="O31" s="49">
        <f t="shared" si="5"/>
        <v>5.5114511871012795E-08</v>
      </c>
      <c r="P31" s="205">
        <f t="shared" si="6"/>
        <v>5.006190046751059</v>
      </c>
      <c r="Q31" s="49">
        <f t="shared" si="7"/>
        <v>1</v>
      </c>
      <c r="R31" s="197">
        <f t="shared" si="8"/>
        <v>0.46117982566067717</v>
      </c>
      <c r="S31" s="53">
        <f t="shared" si="26"/>
        <v>7.176154113545087</v>
      </c>
      <c r="T31" s="49">
        <f t="shared" si="9"/>
        <v>2.5552459018551374</v>
      </c>
      <c r="U31" s="49">
        <f t="shared" si="10"/>
        <v>6.620908211689949</v>
      </c>
      <c r="V31" s="54">
        <f t="shared" si="11"/>
        <v>-1.1761541135450866</v>
      </c>
      <c r="W31" s="97">
        <f t="shared" si="12"/>
        <v>-10.522615774266875</v>
      </c>
      <c r="X31" s="25">
        <f t="shared" si="27"/>
        <v>-0.30335181408744294</v>
      </c>
      <c r="Y31" s="23">
        <f t="shared" si="13"/>
        <v>6.762816496538772</v>
      </c>
      <c r="Z31" s="23">
        <f t="shared" si="14"/>
        <v>1.7566264497877127</v>
      </c>
      <c r="AA31" s="205">
        <f>ERF(AH31)+ERF(AI31)-1</f>
        <v>0.27998875907452625</v>
      </c>
      <c r="AB31" s="52">
        <f t="shared" si="15"/>
        <v>6</v>
      </c>
      <c r="AC31" s="136">
        <f t="shared" si="21"/>
        <v>0.3</v>
      </c>
      <c r="AD31" s="137">
        <f t="shared" si="28"/>
        <v>7.9</v>
      </c>
      <c r="AE31" s="199">
        <f t="shared" si="22"/>
        <v>0</v>
      </c>
      <c r="AF31" s="154">
        <f t="shared" si="16"/>
        <v>0.6686833147704867</v>
      </c>
      <c r="AG31" s="177">
        <f>IF(ABS(AF31)&lt;10,SIGN(AF31)*ERF(ABS(AF31)),SIGN(AF31))</f>
        <v>0.6556784800068892</v>
      </c>
      <c r="AH31" s="193">
        <f t="shared" si="17"/>
        <v>0.850021162843839</v>
      </c>
      <c r="AI31" s="193">
        <f t="shared" si="18"/>
        <v>0.4873454666971344</v>
      </c>
    </row>
    <row r="32" spans="1:35" s="26" customFormat="1" ht="15" customHeight="1">
      <c r="A32" s="262">
        <f t="shared" si="23"/>
        <v>0.37000000000000016</v>
      </c>
      <c r="B32" s="271">
        <f t="shared" si="29"/>
        <v>-2.158362467492649</v>
      </c>
      <c r="C32" s="128">
        <f t="shared" si="30"/>
        <v>0.017663800000000007</v>
      </c>
      <c r="D32" s="143">
        <f t="shared" si="31"/>
        <v>139736.8643383584</v>
      </c>
      <c r="E32" s="143">
        <f t="shared" si="32"/>
        <v>1351.3513513513508</v>
      </c>
      <c r="F32" s="105">
        <f t="shared" si="19"/>
        <v>386.2927379790021</v>
      </c>
      <c r="G32" s="105">
        <f t="shared" si="0"/>
        <v>408.0939100443842</v>
      </c>
      <c r="H32" s="50">
        <f t="shared" si="1"/>
        <v>5.35385673687162</v>
      </c>
      <c r="I32" s="49">
        <f t="shared" si="2"/>
        <v>0.5706693991288916</v>
      </c>
      <c r="J32" s="49">
        <f t="shared" si="24"/>
        <v>-0.01424372898886335</v>
      </c>
      <c r="K32" s="49">
        <f t="shared" si="3"/>
        <v>0.00011475677585114496</v>
      </c>
      <c r="L32" s="49">
        <f t="shared" si="4"/>
        <v>1.4160749340844217E-06</v>
      </c>
      <c r="M32" s="49">
        <f t="shared" si="25"/>
        <v>0.0008233399022383272</v>
      </c>
      <c r="N32" s="49">
        <f t="shared" si="20"/>
        <v>0.09038911598832053</v>
      </c>
      <c r="O32" s="49">
        <f t="shared" si="5"/>
        <v>6.018918644046245E-08</v>
      </c>
      <c r="P32" s="205">
        <f t="shared" si="6"/>
        <v>5.006190046751059</v>
      </c>
      <c r="Q32" s="49">
        <f t="shared" si="7"/>
        <v>1</v>
      </c>
      <c r="R32" s="197">
        <f t="shared" si="8"/>
        <v>0.47223465516633745</v>
      </c>
      <c r="S32" s="53">
        <f t="shared" si="26"/>
        <v>7.487151383419289</v>
      </c>
      <c r="T32" s="49">
        <f t="shared" si="9"/>
        <v>2.5706693991288914</v>
      </c>
      <c r="U32" s="49">
        <f t="shared" si="10"/>
        <v>6.916481984290398</v>
      </c>
      <c r="V32" s="54">
        <f t="shared" si="11"/>
        <v>-1.487151383419289</v>
      </c>
      <c r="W32" s="97">
        <f t="shared" si="12"/>
        <v>-10.549094101046288</v>
      </c>
      <c r="X32" s="25">
        <f t="shared" si="27"/>
        <v>-0.31949306097985364</v>
      </c>
      <c r="Y32" s="23">
        <f t="shared" si="13"/>
        <v>6.762816496538772</v>
      </c>
      <c r="Z32" s="23">
        <f t="shared" si="14"/>
        <v>1.7566264497877127</v>
      </c>
      <c r="AA32" s="205">
        <f>ERF(AH32)+ERF(AI32)-1</f>
        <v>0.261451333235057</v>
      </c>
      <c r="AB32" s="52">
        <f t="shared" si="15"/>
        <v>6</v>
      </c>
      <c r="AC32" s="136">
        <f t="shared" si="21"/>
        <v>0.3</v>
      </c>
      <c r="AD32" s="137">
        <f t="shared" si="28"/>
        <v>7.9</v>
      </c>
      <c r="AE32" s="199">
        <f t="shared" si="22"/>
        <v>0</v>
      </c>
      <c r="AF32" s="154">
        <f t="shared" si="16"/>
        <v>0.6550365216124939</v>
      </c>
      <c r="AG32" s="177">
        <f>IF(ABS(AF32)&lt;10,SIGN(AF32)*ERF(ABS(AF32)),SIGN(AF32))</f>
        <v>0.6457418676621127</v>
      </c>
      <c r="AH32" s="193">
        <f t="shared" si="17"/>
        <v>0.8326735444226617</v>
      </c>
      <c r="AI32" s="193">
        <f t="shared" si="18"/>
        <v>0.4773994988023261</v>
      </c>
    </row>
    <row r="33" spans="1:35" s="26" customFormat="1" ht="15" customHeight="1">
      <c r="A33" s="262">
        <f t="shared" si="23"/>
        <v>0.38000000000000017</v>
      </c>
      <c r="B33" s="271">
        <f t="shared" si="29"/>
        <v>-2.2166965882356937</v>
      </c>
      <c r="C33" s="128">
        <f t="shared" si="30"/>
        <v>0.018141200000000007</v>
      </c>
      <c r="D33" s="143">
        <f t="shared" si="31"/>
        <v>136059.57843471738</v>
      </c>
      <c r="E33" s="143">
        <f t="shared" si="32"/>
        <v>1315.78947368421</v>
      </c>
      <c r="F33" s="105">
        <f t="shared" si="19"/>
        <v>395.1388690581456</v>
      </c>
      <c r="G33" s="105">
        <f t="shared" si="0"/>
        <v>416.47723327998415</v>
      </c>
      <c r="H33" s="50">
        <f t="shared" si="1"/>
        <v>5.655236718759621</v>
      </c>
      <c r="I33" s="49">
        <f t="shared" si="2"/>
        <v>0.5860928964026454</v>
      </c>
      <c r="J33" s="49">
        <f t="shared" si="24"/>
        <v>-0.01462869463721101</v>
      </c>
      <c r="K33" s="49">
        <f t="shared" si="3"/>
        <v>0.000121042997404019</v>
      </c>
      <c r="L33" s="49">
        <f t="shared" si="4"/>
        <v>1.5754655622546103E-06</v>
      </c>
      <c r="M33" s="49">
        <f t="shared" si="25"/>
        <v>0.000806766788556046</v>
      </c>
      <c r="N33" s="49">
        <f t="shared" si="20"/>
        <v>0.08853205729027011</v>
      </c>
      <c r="O33" s="49">
        <f t="shared" si="5"/>
        <v>6.555994916390695E-08</v>
      </c>
      <c r="P33" s="205">
        <f t="shared" si="6"/>
        <v>5.006190046751059</v>
      </c>
      <c r="Q33" s="49">
        <f t="shared" si="7"/>
        <v>1</v>
      </c>
      <c r="R33" s="197">
        <f t="shared" si="8"/>
        <v>0.48527692202674544</v>
      </c>
      <c r="S33" s="53">
        <f t="shared" si="26"/>
        <v>7.815140235504794</v>
      </c>
      <c r="T33" s="49">
        <f t="shared" si="9"/>
        <v>2.5860928964026453</v>
      </c>
      <c r="U33" s="49">
        <f t="shared" si="10"/>
        <v>7.229047339102149</v>
      </c>
      <c r="V33" s="54">
        <f t="shared" si="11"/>
        <v>-1.8151402355047939</v>
      </c>
      <c r="W33" s="97">
        <f t="shared" si="12"/>
        <v>-10.57755986518045</v>
      </c>
      <c r="X33" s="25">
        <f t="shared" si="27"/>
        <v>-0.337518106810466</v>
      </c>
      <c r="Y33" s="23">
        <f t="shared" si="13"/>
        <v>6.762816496538772</v>
      </c>
      <c r="Z33" s="23">
        <f t="shared" si="14"/>
        <v>1.7566264497877127</v>
      </c>
      <c r="AA33" s="205">
        <f>ERF(AH33)+ERF(AI33)-1</f>
        <v>0.2431916368922129</v>
      </c>
      <c r="AB33" s="52">
        <f t="shared" si="15"/>
        <v>6</v>
      </c>
      <c r="AC33" s="136">
        <f t="shared" si="21"/>
        <v>0.3</v>
      </c>
      <c r="AD33" s="137">
        <f t="shared" si="28"/>
        <v>7.9</v>
      </c>
      <c r="AE33" s="199">
        <f t="shared" si="22"/>
        <v>0</v>
      </c>
      <c r="AF33" s="154">
        <f t="shared" si="16"/>
        <v>0.6418512080995487</v>
      </c>
      <c r="AG33" s="177">
        <f>IF(ABS(AF33)&lt;10,SIGN(AF33)*ERF(ABS(AF33)),SIGN(AF33))</f>
        <v>0.6359710127977664</v>
      </c>
      <c r="AH33" s="193">
        <f t="shared" si="17"/>
        <v>0.8159125526689177</v>
      </c>
      <c r="AI33" s="193">
        <f t="shared" si="18"/>
        <v>0.4677898635301796</v>
      </c>
    </row>
    <row r="34" spans="1:35" s="26" customFormat="1" ht="15" customHeight="1">
      <c r="A34" s="262">
        <f t="shared" si="23"/>
        <v>0.3900000000000002</v>
      </c>
      <c r="B34" s="271">
        <f t="shared" si="29"/>
        <v>-2.275030708978738</v>
      </c>
      <c r="C34" s="128">
        <f t="shared" si="30"/>
        <v>0.018618600000000006</v>
      </c>
      <c r="D34" s="143">
        <f t="shared" si="31"/>
        <v>132570.87129536565</v>
      </c>
      <c r="E34" s="143">
        <f t="shared" si="32"/>
        <v>1282.0512820512815</v>
      </c>
      <c r="F34" s="105">
        <f t="shared" si="19"/>
        <v>404.0194419873788</v>
      </c>
      <c r="G34" s="105">
        <f t="shared" si="0"/>
        <v>424.9120726736214</v>
      </c>
      <c r="H34" s="50">
        <f t="shared" si="1"/>
        <v>5.9732338961504325</v>
      </c>
      <c r="I34" s="49">
        <f t="shared" si="2"/>
        <v>0.6015163936763992</v>
      </c>
      <c r="J34" s="49">
        <f t="shared" si="24"/>
        <v>-0.015013660285558667</v>
      </c>
      <c r="K34" s="49">
        <f t="shared" si="3"/>
        <v>0.00012749677884167206</v>
      </c>
      <c r="L34" s="49">
        <f t="shared" si="4"/>
        <v>1.7479460249672647E-06</v>
      </c>
      <c r="M34" s="49">
        <f>$P$5*10^9*($J$5/G34)*10^($B$8/10)</f>
        <v>0.0007907518322222028</v>
      </c>
      <c r="N34" s="49">
        <f t="shared" si="20"/>
        <v>0.08673904909391154</v>
      </c>
      <c r="O34" s="49">
        <f t="shared" si="5"/>
        <v>7.123465321778877E-08</v>
      </c>
      <c r="P34" s="205">
        <f t="shared" si="6"/>
        <v>5.006190046751059</v>
      </c>
      <c r="Q34" s="49">
        <f t="shared" si="7"/>
        <v>1</v>
      </c>
      <c r="R34" s="197">
        <f t="shared" si="8"/>
        <v>0.5006964389387996</v>
      </c>
      <c r="S34" s="53">
        <f t="shared" si="26"/>
        <v>8.162187597040221</v>
      </c>
      <c r="T34" s="49">
        <f t="shared" si="9"/>
        <v>2.601516393676399</v>
      </c>
      <c r="U34" s="49">
        <f t="shared" si="10"/>
        <v>7.560671203363822</v>
      </c>
      <c r="V34" s="54">
        <f t="shared" si="11"/>
        <v>-2.162187597040221</v>
      </c>
      <c r="W34" s="97">
        <f t="shared" si="12"/>
        <v>-10.608402879366258</v>
      </c>
      <c r="X34" s="25">
        <f t="shared" si="27"/>
        <v>-0.3578476793970138</v>
      </c>
      <c r="Y34" s="23">
        <f t="shared" si="13"/>
        <v>6.762816496538772</v>
      </c>
      <c r="Z34" s="23">
        <f t="shared" si="14"/>
        <v>1.7566264497877127</v>
      </c>
      <c r="AA34" s="205">
        <f>ERF(AH34)+ERF(AI34)-1</f>
        <v>0.2252200064069272</v>
      </c>
      <c r="AB34" s="52">
        <f t="shared" si="15"/>
        <v>6</v>
      </c>
      <c r="AC34" s="136">
        <f t="shared" si="21"/>
        <v>0.3</v>
      </c>
      <c r="AD34" s="137">
        <f t="shared" si="28"/>
        <v>7.9</v>
      </c>
      <c r="AE34" s="199">
        <f t="shared" si="22"/>
        <v>0</v>
      </c>
      <c r="AF34" s="154">
        <f t="shared" si="16"/>
        <v>0.629109955960332</v>
      </c>
      <c r="AG34" s="177">
        <f>IF(ABS(AF34)&lt;10,SIGN(AF34)*ERF(ABS(AF34)),SIGN(AF34))</f>
        <v>0.6263707650497494</v>
      </c>
      <c r="AH34" s="193">
        <f t="shared" si="17"/>
        <v>0.7997160457122865</v>
      </c>
      <c r="AI34" s="193">
        <f t="shared" si="18"/>
        <v>0.45850386620837763</v>
      </c>
    </row>
    <row r="35" spans="1:35" s="78" customFormat="1" ht="15" customHeight="1">
      <c r="A35" s="263">
        <f t="shared" si="23"/>
        <v>0.4000000000000002</v>
      </c>
      <c r="B35" s="272">
        <f>A35*$B$3</f>
        <v>-2.333364829721783</v>
      </c>
      <c r="C35" s="129">
        <f>A35*$Z$4</f>
        <v>0.01909600000000001</v>
      </c>
      <c r="D35" s="144">
        <f t="shared" si="31"/>
        <v>129256.59951298148</v>
      </c>
      <c r="E35" s="144">
        <f>$E$7/A35</f>
        <v>1249.9999999999993</v>
      </c>
      <c r="F35" s="204">
        <f t="shared" si="19"/>
        <v>412.9322346403123</v>
      </c>
      <c r="G35" s="106">
        <f t="shared" si="0"/>
        <v>433.3954203784829</v>
      </c>
      <c r="H35" s="75">
        <f t="shared" si="1"/>
        <v>6.3098914831288315</v>
      </c>
      <c r="I35" s="74">
        <f t="shared" si="2"/>
        <v>0.616939890950153</v>
      </c>
      <c r="J35" s="74">
        <f t="shared" si="24"/>
        <v>-0.015398625933906326</v>
      </c>
      <c r="K35" s="74">
        <f t="shared" si="3"/>
        <v>0.00013411811442629544</v>
      </c>
      <c r="L35" s="74">
        <f t="shared" si="4"/>
        <v>1.9342138521602086E-06</v>
      </c>
      <c r="M35" s="74">
        <f>$P$5*10^9*($J$5/G35)*10^($B$8/10)</f>
        <v>0.0007752735359007073</v>
      </c>
      <c r="N35" s="74">
        <f t="shared" si="20"/>
        <v>0.08500753025593459</v>
      </c>
      <c r="O35" s="74">
        <f t="shared" si="5"/>
        <v>7.722114853114803E-08</v>
      </c>
      <c r="P35" s="155">
        <f t="shared" si="6"/>
        <v>5.006190046751059</v>
      </c>
      <c r="Q35" s="74">
        <f t="shared" si="7"/>
        <v>1</v>
      </c>
      <c r="R35" s="195">
        <f t="shared" si="8"/>
        <v>0.5189946785289017</v>
      </c>
      <c r="S35" s="96">
        <f t="shared" si="26"/>
        <v>8.530835594298821</v>
      </c>
      <c r="T35" s="74">
        <f t="shared" si="9"/>
        <v>2.616939890950153</v>
      </c>
      <c r="U35" s="74">
        <f t="shared" si="10"/>
        <v>7.913895703348668</v>
      </c>
      <c r="V35" s="100">
        <f t="shared" si="11"/>
        <v>-2.5308355942988214</v>
      </c>
      <c r="W35" s="101">
        <f t="shared" si="12"/>
        <v>-10.642124616230113</v>
      </c>
      <c r="X35" s="77"/>
      <c r="Y35" s="74">
        <f t="shared" si="13"/>
        <v>6.762816496538772</v>
      </c>
      <c r="Z35" s="74">
        <f t="shared" si="14"/>
        <v>1.7566264497877127</v>
      </c>
      <c r="AA35" s="155">
        <f>ERF(AH35)+ERF(AI35)-1</f>
        <v>0.20754457403408555</v>
      </c>
      <c r="AB35" s="76">
        <f t="shared" si="15"/>
        <v>6</v>
      </c>
      <c r="AC35" s="186">
        <f t="shared" si="21"/>
        <v>0.3</v>
      </c>
      <c r="AD35" s="187">
        <f>ROUNDUP(E10,0)-0.1</f>
        <v>7.9</v>
      </c>
      <c r="AE35" s="200">
        <f t="shared" si="22"/>
        <v>0</v>
      </c>
      <c r="AF35" s="155">
        <f t="shared" si="16"/>
        <v>0.6167956622459664</v>
      </c>
      <c r="AG35" s="179">
        <f>IF(ABS(AF35)&lt;10,SIGN(AF35)*ERF(ABS(AF35)),SIGN(AF35))</f>
        <v>0.616944783987942</v>
      </c>
      <c r="AH35" s="190">
        <f t="shared" si="17"/>
        <v>0.784062282516059</v>
      </c>
      <c r="AI35" s="190">
        <f t="shared" si="18"/>
        <v>0.4495290419758739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5"/>
      <c r="S36" s="13"/>
      <c r="U36" s="13"/>
      <c r="V36" s="13"/>
      <c r="W36" s="14"/>
      <c r="AA36" s="5"/>
      <c r="AB36" s="6"/>
      <c r="AE36" s="201">
        <f>SUM(AE15:AE35)</f>
        <v>0.41058915673248464</v>
      </c>
    </row>
    <row r="37" spans="1:27" s="26" customFormat="1" ht="15" customHeight="1">
      <c r="A37" s="79" t="s">
        <v>60</v>
      </c>
      <c r="B37" s="22"/>
      <c r="C37" s="22"/>
      <c r="D37" s="21"/>
      <c r="E37" s="22"/>
      <c r="F37" s="22"/>
      <c r="G37" s="28"/>
      <c r="W37" s="31"/>
      <c r="X37" s="31"/>
      <c r="AA37" s="158"/>
    </row>
    <row r="38" spans="1:28" s="26" customFormat="1" ht="15" customHeight="1">
      <c r="A38" s="29" t="s">
        <v>108</v>
      </c>
      <c r="B38" s="22"/>
      <c r="C38" s="22"/>
      <c r="D38" s="21"/>
      <c r="E38" s="22"/>
      <c r="F38" s="22"/>
      <c r="G38" s="28"/>
      <c r="K38" s="23"/>
      <c r="L38" s="22"/>
      <c r="M38" s="23"/>
      <c r="N38" s="23"/>
      <c r="O38" s="23"/>
      <c r="P38" s="23"/>
      <c r="Q38" s="23"/>
      <c r="R38" s="59"/>
      <c r="S38" s="23"/>
      <c r="T38" s="30"/>
      <c r="U38" s="23"/>
      <c r="W38" s="31"/>
      <c r="X38" s="31"/>
      <c r="AA38" s="158"/>
      <c r="AB38" s="24"/>
    </row>
    <row r="39" spans="1:28" s="26" customFormat="1" ht="15" customHeight="1">
      <c r="A39" s="23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22"/>
      <c r="M39" s="23"/>
      <c r="N39" s="23"/>
      <c r="O39" s="23"/>
      <c r="P39" s="23"/>
      <c r="Q39" s="23"/>
      <c r="R39" s="59"/>
      <c r="S39" s="23"/>
      <c r="T39" s="30"/>
      <c r="U39" s="23"/>
      <c r="W39" s="31"/>
      <c r="X39" s="31"/>
      <c r="AA39" s="158"/>
      <c r="AB39" s="24"/>
    </row>
    <row r="40" spans="1:28" s="26" customFormat="1" ht="15" customHeight="1">
      <c r="A40" s="29"/>
      <c r="B40" s="164" t="s">
        <v>191</v>
      </c>
      <c r="C40" s="22"/>
      <c r="D40" s="21"/>
      <c r="E40" s="22"/>
      <c r="F40" s="22"/>
      <c r="G40" s="28"/>
      <c r="H40" s="23"/>
      <c r="I40" s="23"/>
      <c r="J40" s="23"/>
      <c r="K40" s="23"/>
      <c r="L40" s="22"/>
      <c r="M40" s="23"/>
      <c r="N40" s="23"/>
      <c r="O40" s="23"/>
      <c r="P40" s="23"/>
      <c r="Q40" s="23"/>
      <c r="R40" s="59"/>
      <c r="S40" s="23"/>
      <c r="T40" s="30"/>
      <c r="U40" s="23"/>
      <c r="W40" s="31"/>
      <c r="X40" s="31"/>
      <c r="AA40" s="158"/>
      <c r="AB40" s="24"/>
    </row>
    <row r="41" spans="1:28" s="26" customFormat="1" ht="15" customHeight="1">
      <c r="A41" s="29"/>
      <c r="B41" s="29"/>
      <c r="C41" s="22"/>
      <c r="D41" s="21"/>
      <c r="E41" s="22"/>
      <c r="F41" s="22"/>
      <c r="G41" s="28"/>
      <c r="H41" s="23"/>
      <c r="I41" s="23"/>
      <c r="J41" s="23"/>
      <c r="K41" s="23"/>
      <c r="L41" s="22"/>
      <c r="M41" s="23"/>
      <c r="N41" s="23"/>
      <c r="O41" s="23"/>
      <c r="P41" s="23"/>
      <c r="Q41" s="23"/>
      <c r="R41" s="59"/>
      <c r="S41" s="23"/>
      <c r="T41" s="30"/>
      <c r="U41" s="23"/>
      <c r="W41" s="31"/>
      <c r="X41" s="31"/>
      <c r="AA41" s="158"/>
      <c r="AB41" s="24"/>
    </row>
    <row r="42" spans="1:28" s="26" customFormat="1" ht="15" customHeight="1">
      <c r="A42" s="29"/>
      <c r="B42" s="29"/>
      <c r="C42" s="22"/>
      <c r="D42" s="21"/>
      <c r="E42" s="22"/>
      <c r="F42" s="22"/>
      <c r="G42" s="28"/>
      <c r="H42" s="23"/>
      <c r="I42" s="23"/>
      <c r="J42" s="23"/>
      <c r="K42" s="23"/>
      <c r="L42" s="22"/>
      <c r="M42" s="23"/>
      <c r="N42" s="23"/>
      <c r="O42" s="23"/>
      <c r="P42" s="23"/>
      <c r="Q42" s="23"/>
      <c r="R42" s="59"/>
      <c r="S42" s="23"/>
      <c r="T42" s="30"/>
      <c r="U42" s="23"/>
      <c r="W42" s="31"/>
      <c r="X42" s="31"/>
      <c r="AA42" s="158"/>
      <c r="AB42" s="24"/>
    </row>
    <row r="43" spans="1:28" s="26" customFormat="1" ht="15" customHeight="1">
      <c r="A43" s="28"/>
      <c r="D43" s="21"/>
      <c r="E43" s="22"/>
      <c r="F43" s="22"/>
      <c r="G43" s="28"/>
      <c r="H43" s="23"/>
      <c r="I43" s="23"/>
      <c r="J43" s="23"/>
      <c r="K43" s="23"/>
      <c r="L43" s="22"/>
      <c r="M43" s="23"/>
      <c r="N43" s="23"/>
      <c r="O43" s="23"/>
      <c r="P43" s="23"/>
      <c r="Q43" s="23"/>
      <c r="R43" s="59"/>
      <c r="S43" s="23"/>
      <c r="T43" s="30"/>
      <c r="U43" s="23"/>
      <c r="W43" s="31"/>
      <c r="X43" s="31"/>
      <c r="AA43" s="158"/>
      <c r="AB43" s="24"/>
    </row>
    <row r="44" spans="1:28" s="26" customFormat="1" ht="15" customHeight="1">
      <c r="A44" s="28"/>
      <c r="B44" s="22"/>
      <c r="D44" s="21"/>
      <c r="E44" s="22"/>
      <c r="F44" s="22"/>
      <c r="G44" s="28"/>
      <c r="H44" s="23"/>
      <c r="I44" s="23"/>
      <c r="J44" s="23"/>
      <c r="K44" s="23"/>
      <c r="L44" s="22"/>
      <c r="M44" s="23"/>
      <c r="N44" s="23"/>
      <c r="O44" s="23"/>
      <c r="P44" s="23"/>
      <c r="Q44" s="23"/>
      <c r="R44" s="59"/>
      <c r="S44" s="23"/>
      <c r="T44" s="30"/>
      <c r="U44" s="23"/>
      <c r="W44" s="31"/>
      <c r="X44" s="31"/>
      <c r="AA44" s="158"/>
      <c r="AB44" s="24"/>
    </row>
    <row r="45" spans="1:28" s="26" customFormat="1" ht="15" customHeight="1">
      <c r="A45" s="28"/>
      <c r="B45" s="22"/>
      <c r="D45" s="21"/>
      <c r="E45" s="22"/>
      <c r="F45" s="22"/>
      <c r="G45" s="28"/>
      <c r="H45" s="23"/>
      <c r="I45" s="23"/>
      <c r="J45" s="23"/>
      <c r="K45" s="23"/>
      <c r="L45" s="22"/>
      <c r="M45" s="23"/>
      <c r="N45" s="23"/>
      <c r="O45" s="23"/>
      <c r="P45" s="23"/>
      <c r="Q45" s="23"/>
      <c r="R45" s="59"/>
      <c r="S45" s="23"/>
      <c r="T45" s="30"/>
      <c r="U45" s="23"/>
      <c r="W45" s="31"/>
      <c r="X45" s="31"/>
      <c r="AA45" s="158"/>
      <c r="AB45" s="24"/>
    </row>
    <row r="46" spans="1:28" ht="15" customHeight="1">
      <c r="A46" s="28"/>
      <c r="B46" s="22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5"/>
      <c r="S46" s="4"/>
      <c r="U46" s="4"/>
      <c r="AB46" s="6"/>
    </row>
    <row r="47" spans="1:28" ht="15" customHeight="1">
      <c r="A47" s="2"/>
      <c r="B47" s="22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5"/>
      <c r="S47" s="4"/>
      <c r="U47" s="4"/>
      <c r="AB47" s="6"/>
    </row>
    <row r="48" spans="1:28" ht="15" customHeight="1">
      <c r="A48" s="2"/>
      <c r="B48" s="22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0"/>
      <c r="S48" s="4"/>
      <c r="U48" s="4"/>
      <c r="AB48" s="6"/>
    </row>
    <row r="49" spans="1:28" ht="15" customHeight="1">
      <c r="A49" s="24"/>
      <c r="B49" s="22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5"/>
      <c r="S49" s="4"/>
      <c r="U49" s="4"/>
      <c r="AB49" s="6"/>
    </row>
    <row r="50" spans="1:16" ht="15" customHeight="1">
      <c r="A50" s="15"/>
      <c r="B50" s="14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4"/>
      <c r="B51" s="14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4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V2:W2"/>
  </mergeCells>
  <printOptions horizontalCentered="1"/>
  <pageMargins left="0.5" right="0.5" top="0.5" bottom="0.6" header="0.3" footer="0.4"/>
  <pageSetup fitToHeight="1" fitToWidth="1" horizontalDpi="600" verticalDpi="600" orientation="landscape" scale="69" r:id="rId2"/>
  <headerFooter alignWithMargins="0">
    <oddHeader xml:space="preserve">&amp;CSpreadsheet by Agilent Technologies&amp;R </oddHeader>
    <oddFooter>&amp;L&amp;F tab &amp;A page &amp;P of &amp;N&amp;RPrinted &amp;T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showGridLines="0" showOutlineSymbols="0" zoomScale="70" zoomScaleNormal="70" workbookViewId="0" topLeftCell="A1">
      <selection activeCell="T1" sqref="T1"/>
    </sheetView>
  </sheetViews>
  <sheetFormatPr defaultColWidth="9.140625" defaultRowHeight="12.75"/>
  <cols>
    <col min="1" max="1" width="13.28125" style="5" customWidth="1"/>
    <col min="2" max="2" width="7.7109375" style="5" customWidth="1"/>
    <col min="3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6" customWidth="1"/>
    <col min="19" max="19" width="6.57421875" style="5" customWidth="1"/>
    <col min="20" max="20" width="7.28125" style="7" customWidth="1"/>
    <col min="21" max="21" width="7.421875" style="5" customWidth="1"/>
    <col min="22" max="22" width="7.7109375" style="5" customWidth="1"/>
    <col min="23" max="23" width="11.140625" style="10" customWidth="1"/>
    <col min="24" max="24" width="8.8515625" style="10" customWidth="1"/>
    <col min="25" max="25" width="8.140625" style="5" customWidth="1"/>
    <col min="26" max="26" width="7.57421875" style="5" customWidth="1"/>
    <col min="27" max="27" width="10.00390625" style="157" customWidth="1"/>
    <col min="28" max="28" width="6.00390625" style="5" customWidth="1"/>
    <col min="29" max="29" width="6.7109375" style="5" customWidth="1"/>
    <col min="30" max="30" width="7.140625" style="5" customWidth="1"/>
    <col min="31" max="32" width="10.00390625" style="5" customWidth="1"/>
    <col min="33" max="16384" width="11.140625" style="5" customWidth="1"/>
  </cols>
  <sheetData>
    <row r="1" spans="1:32" s="126" customFormat="1" ht="15">
      <c r="A1" s="123" t="s">
        <v>109</v>
      </c>
      <c r="B1" s="110"/>
      <c r="C1" s="110"/>
      <c r="D1" s="110"/>
      <c r="E1" s="114"/>
      <c r="F1" s="114"/>
      <c r="G1" s="114"/>
      <c r="H1" s="114"/>
      <c r="I1" s="114"/>
      <c r="J1" s="114"/>
      <c r="K1" s="114"/>
      <c r="L1" s="124" t="s">
        <v>66</v>
      </c>
      <c r="M1" s="110" t="s">
        <v>132</v>
      </c>
      <c r="N1" s="114"/>
      <c r="O1" s="131" t="s">
        <v>51</v>
      </c>
      <c r="P1" s="277" t="s">
        <v>1</v>
      </c>
      <c r="Q1" s="276" t="str">
        <f>Notes!G1</f>
        <v>1.0.0</v>
      </c>
      <c r="R1" s="217"/>
      <c r="S1" s="222" t="s">
        <v>130</v>
      </c>
      <c r="T1" s="221" t="str">
        <f>Notes!A1</f>
        <v>10GEPBud2_4_1.xls</v>
      </c>
      <c r="U1" s="217"/>
      <c r="V1" s="214"/>
      <c r="W1" s="241">
        <f>Notes!E1</f>
        <v>36879</v>
      </c>
      <c r="AB1" s="217"/>
      <c r="AC1" s="51"/>
      <c r="AD1" s="51"/>
      <c r="AE1" s="51"/>
      <c r="AF1" s="51"/>
    </row>
    <row r="2" spans="1:32" ht="15.75">
      <c r="A2" s="62" t="s">
        <v>2</v>
      </c>
      <c r="B2" s="118" t="s">
        <v>3</v>
      </c>
      <c r="C2" s="73"/>
      <c r="D2" s="65" t="str">
        <f>IF(O1="SMF","PolMD DGDmax","")</f>
        <v>PolMD DGDmax</v>
      </c>
      <c r="E2" s="238">
        <v>10</v>
      </c>
      <c r="F2" s="73" t="str">
        <f>IF(O1="SMF","ps at target "&amp;J2&amp;K2,"")</f>
        <v>ps at target 10km</v>
      </c>
      <c r="G2" s="62"/>
      <c r="H2" s="61"/>
      <c r="I2" s="65" t="s">
        <v>92</v>
      </c>
      <c r="J2" s="130">
        <v>10</v>
      </c>
      <c r="K2" s="61" t="s">
        <v>93</v>
      </c>
      <c r="L2" s="61"/>
      <c r="M2" s="73"/>
      <c r="N2" s="61"/>
      <c r="O2" s="62" t="s">
        <v>98</v>
      </c>
      <c r="P2" s="139">
        <f>1000000/$P$6</f>
        <v>299.5</v>
      </c>
      <c r="Q2" s="61" t="s">
        <v>87</v>
      </c>
      <c r="R2" s="274"/>
      <c r="S2" s="275" t="s">
        <v>232</v>
      </c>
      <c r="T2" s="278" t="str">
        <f>Notes!F16</f>
        <v>2.4.1</v>
      </c>
      <c r="U2" s="279" t="s">
        <v>229</v>
      </c>
      <c r="V2" s="283">
        <f>Notes!D16</f>
        <v>36881</v>
      </c>
      <c r="W2" s="284"/>
      <c r="X2" s="6"/>
      <c r="Y2" s="243" t="s">
        <v>154</v>
      </c>
      <c r="Z2" s="244">
        <f>10^(B6/10)</f>
        <v>1.5339746133336245</v>
      </c>
      <c r="AA2" s="245" t="s">
        <v>153</v>
      </c>
      <c r="AB2" s="66"/>
      <c r="AC2" s="1"/>
      <c r="AD2" s="1"/>
      <c r="AE2" s="1"/>
      <c r="AF2" s="1"/>
    </row>
    <row r="3" spans="1:32" ht="15" customHeight="1">
      <c r="A3" s="62" t="s">
        <v>214</v>
      </c>
      <c r="B3" s="67">
        <f>0.25*$E$4*$B$4*(1-($E$5/$B$4)^4)</f>
        <v>-5.35147669302665</v>
      </c>
      <c r="C3" s="66" t="s">
        <v>213</v>
      </c>
      <c r="D3" s="65" t="s">
        <v>144</v>
      </c>
      <c r="E3" s="145">
        <v>1000000</v>
      </c>
      <c r="F3" s="61" t="s">
        <v>143</v>
      </c>
      <c r="G3" s="61"/>
      <c r="H3" s="73"/>
      <c r="I3" s="62" t="s">
        <v>95</v>
      </c>
      <c r="J3" s="117">
        <v>7.5</v>
      </c>
      <c r="K3" s="73" t="s">
        <v>93</v>
      </c>
      <c r="L3" s="61"/>
      <c r="M3" s="73"/>
      <c r="N3" s="61"/>
      <c r="O3" s="62" t="s">
        <v>4</v>
      </c>
      <c r="P3" s="49">
        <f>IF($B$4&gt;1000,$E$6/1.5,$E$6/3.5)</f>
        <v>0.3333333333333333</v>
      </c>
      <c r="Q3" s="61"/>
      <c r="R3" s="80"/>
      <c r="S3" s="243" t="s">
        <v>207</v>
      </c>
      <c r="T3" s="244">
        <f>10*LOG10(Z3)</f>
        <v>6.762816496538772</v>
      </c>
      <c r="U3" s="246" t="s">
        <v>155</v>
      </c>
      <c r="V3" s="73"/>
      <c r="W3" s="66"/>
      <c r="X3" s="6"/>
      <c r="Y3" s="243" t="s">
        <v>152</v>
      </c>
      <c r="Z3" s="244">
        <f>(Z2+1)/(Z2-1)</f>
        <v>4.745496415108429</v>
      </c>
      <c r="AA3" s="245" t="s">
        <v>153</v>
      </c>
      <c r="AB3" s="82"/>
      <c r="AC3" s="1"/>
      <c r="AD3" s="1"/>
      <c r="AE3" s="1"/>
      <c r="AF3" s="1"/>
    </row>
    <row r="4" spans="1:32" ht="15" customHeight="1">
      <c r="A4" s="62" t="s">
        <v>48</v>
      </c>
      <c r="B4" s="84">
        <v>1270</v>
      </c>
      <c r="C4" s="73"/>
      <c r="D4" s="65" t="s">
        <v>7</v>
      </c>
      <c r="E4" s="81">
        <v>0.093</v>
      </c>
      <c r="F4" s="61"/>
      <c r="G4" s="61"/>
      <c r="H4" s="73"/>
      <c r="I4" s="62" t="s">
        <v>96</v>
      </c>
      <c r="J4" s="210">
        <v>0.25</v>
      </c>
      <c r="K4" s="61" t="s">
        <v>93</v>
      </c>
      <c r="L4" s="61"/>
      <c r="M4" s="61"/>
      <c r="N4" s="61"/>
      <c r="O4" s="62" t="s">
        <v>5</v>
      </c>
      <c r="P4" s="139">
        <f>B7*1.518</f>
        <v>151.8</v>
      </c>
      <c r="Q4" s="73" t="s">
        <v>87</v>
      </c>
      <c r="R4" s="85"/>
      <c r="S4" s="2" t="s">
        <v>208</v>
      </c>
      <c r="T4" s="4">
        <f>10*LOG10((1+10^(-($J$10/10)))/(1-10^(-($J$10/10))))</f>
        <v>1.7566264497877127</v>
      </c>
      <c r="U4" s="246" t="s">
        <v>155</v>
      </c>
      <c r="V4" s="73"/>
      <c r="W4" s="66"/>
      <c r="X4" s="6"/>
      <c r="Y4" s="248" t="s">
        <v>31</v>
      </c>
      <c r="Z4" s="5">
        <f>0.7*$E$4*$B$5</f>
        <v>0.040361999999999995</v>
      </c>
      <c r="AA4" s="66" t="s">
        <v>213</v>
      </c>
      <c r="AB4" s="83"/>
      <c r="AC4" s="1"/>
      <c r="AD4" s="1"/>
      <c r="AE4" s="1"/>
      <c r="AF4" s="1"/>
    </row>
    <row r="5" spans="1:32" ht="15" customHeight="1">
      <c r="A5" s="62" t="s">
        <v>6</v>
      </c>
      <c r="B5" s="86">
        <v>0.62</v>
      </c>
      <c r="C5" s="73"/>
      <c r="D5" s="65" t="s">
        <v>49</v>
      </c>
      <c r="E5" s="81">
        <v>1324</v>
      </c>
      <c r="F5" s="61"/>
      <c r="G5" s="61"/>
      <c r="H5" s="73"/>
      <c r="I5" s="62" t="s">
        <v>9</v>
      </c>
      <c r="J5" s="87">
        <v>480</v>
      </c>
      <c r="K5" s="61" t="s">
        <v>91</v>
      </c>
      <c r="L5" s="73"/>
      <c r="M5" s="67"/>
      <c r="N5" s="61"/>
      <c r="O5" s="62" t="s">
        <v>8</v>
      </c>
      <c r="P5" s="95">
        <v>0.7</v>
      </c>
      <c r="Q5" s="61"/>
      <c r="R5" s="85"/>
      <c r="S5" s="248" t="s">
        <v>163</v>
      </c>
      <c r="T5" s="249">
        <f>T3-T4</f>
        <v>5.006190046751059</v>
      </c>
      <c r="U5" s="246" t="s">
        <v>155</v>
      </c>
      <c r="V5" s="73"/>
      <c r="W5" s="66"/>
      <c r="X5" s="6"/>
      <c r="AB5" s="83"/>
      <c r="AC5" s="1"/>
      <c r="AD5" s="1"/>
      <c r="AE5" s="1"/>
      <c r="AF5" s="1"/>
    </row>
    <row r="6" spans="1:32" ht="15" customHeight="1">
      <c r="A6" s="62" t="s">
        <v>223</v>
      </c>
      <c r="B6" s="70">
        <f>10*LOG10((2*AE7+K9)/(2*AE7-K9))</f>
        <v>1.8581817227244557</v>
      </c>
      <c r="C6" s="73" t="s">
        <v>54</v>
      </c>
      <c r="D6" s="65" t="s">
        <v>83</v>
      </c>
      <c r="E6" s="81">
        <v>0.5</v>
      </c>
      <c r="F6" s="61" t="str">
        <f>"dB/km at "&amp;IF(B4&lt;1000,850,1300)&amp;" nm"</f>
        <v>dB/km at 1300 nm</v>
      </c>
      <c r="G6" s="61"/>
      <c r="H6" s="73"/>
      <c r="I6" s="62" t="s">
        <v>12</v>
      </c>
      <c r="J6" s="86">
        <v>7.037</v>
      </c>
      <c r="K6" s="61"/>
      <c r="L6" s="61"/>
      <c r="M6" s="67"/>
      <c r="N6" s="61"/>
      <c r="O6" s="65" t="s">
        <v>10</v>
      </c>
      <c r="P6" s="88">
        <f>(P7)</f>
        <v>3338.89816360601</v>
      </c>
      <c r="Q6" s="66"/>
      <c r="R6" s="83"/>
      <c r="S6" s="62" t="s">
        <v>204</v>
      </c>
      <c r="T6" s="51">
        <f>$E$10-$E$11</f>
        <v>7</v>
      </c>
      <c r="U6" s="233" t="s">
        <v>54</v>
      </c>
      <c r="V6" s="73"/>
      <c r="W6" s="66"/>
      <c r="Y6" s="166" t="s">
        <v>114</v>
      </c>
      <c r="Z6" s="167">
        <f>$Z$8*$P$2/(SQRT(8)*$T$9)</f>
        <v>2.0622653750541255</v>
      </c>
      <c r="AA6" s="168" t="s">
        <v>67</v>
      </c>
      <c r="AB6" s="61"/>
      <c r="AC6" s="1"/>
      <c r="AD6" s="1"/>
      <c r="AE6" s="1"/>
      <c r="AF6" s="1"/>
    </row>
    <row r="7" spans="1:32" ht="15" customHeight="1">
      <c r="A7" s="62" t="s">
        <v>11</v>
      </c>
      <c r="B7" s="81">
        <v>100</v>
      </c>
      <c r="C7" s="73" t="s">
        <v>87</v>
      </c>
      <c r="D7" s="65" t="s">
        <v>145</v>
      </c>
      <c r="E7" s="239">
        <f>IF(O1="SMF",1000000*J2/(3*E2),E3)</f>
        <v>333333.3333333333</v>
      </c>
      <c r="F7" s="61" t="s">
        <v>143</v>
      </c>
      <c r="G7" s="67"/>
      <c r="H7" s="67"/>
      <c r="I7" s="65" t="s">
        <v>88</v>
      </c>
      <c r="J7" s="147">
        <f>2.5*10^5/$E$8</f>
        <v>80</v>
      </c>
      <c r="K7" s="67" t="s">
        <v>87</v>
      </c>
      <c r="L7" s="61"/>
      <c r="M7" s="67"/>
      <c r="N7" s="61"/>
      <c r="O7" s="65" t="s">
        <v>13</v>
      </c>
      <c r="P7" s="89">
        <f>1/((1/$E$8)-$J$8*10^-6)</f>
        <v>3338.89816360601</v>
      </c>
      <c r="Q7" s="66"/>
      <c r="R7" s="83"/>
      <c r="S7" s="91" t="s">
        <v>28</v>
      </c>
      <c r="T7" s="115">
        <f>AE36</f>
        <v>0.03554345640989265</v>
      </c>
      <c r="U7" s="92" t="str">
        <f>"dB at target "&amp;J2&amp;" km"</f>
        <v>dB at target 10 km</v>
      </c>
      <c r="V7" s="73"/>
      <c r="W7" s="119"/>
      <c r="Y7" s="166" t="s">
        <v>115</v>
      </c>
      <c r="Z7" s="169">
        <f>IF(ABS($Z$6)&lt;10,SIGN($Z$6)*ERF(ABS($Z$6)),SIGN($Z$6))</f>
        <v>0.9964599872530325</v>
      </c>
      <c r="AA7" s="168" t="s">
        <v>67</v>
      </c>
      <c r="AB7" s="61"/>
      <c r="AC7" s="1"/>
      <c r="AD7" s="2" t="s">
        <v>166</v>
      </c>
      <c r="AE7" s="253">
        <f>1000*10^(J9/10)</f>
        <v>562.341325190349</v>
      </c>
      <c r="AF7" s="1" t="s">
        <v>165</v>
      </c>
    </row>
    <row r="8" spans="1:32" ht="15" customHeight="1">
      <c r="A8" s="248" t="s">
        <v>224</v>
      </c>
      <c r="B8" s="81">
        <v>-120</v>
      </c>
      <c r="C8" s="102" t="s">
        <v>74</v>
      </c>
      <c r="D8" s="62" t="s">
        <v>84</v>
      </c>
      <c r="E8" s="148">
        <v>3125</v>
      </c>
      <c r="F8" s="73" t="s">
        <v>89</v>
      </c>
      <c r="G8" s="67"/>
      <c r="H8" s="61"/>
      <c r="I8" s="65" t="s">
        <v>15</v>
      </c>
      <c r="J8" s="81">
        <v>20.5</v>
      </c>
      <c r="K8" s="61"/>
      <c r="L8" s="61"/>
      <c r="M8" s="61"/>
      <c r="N8" s="61"/>
      <c r="O8" s="62" t="s">
        <v>14</v>
      </c>
      <c r="P8" s="63">
        <f>(10^-6)*$J$7*$P$7</f>
        <v>0.2671118530884808</v>
      </c>
      <c r="Q8" s="66"/>
      <c r="R8" s="83"/>
      <c r="S8" s="65" t="s">
        <v>100</v>
      </c>
      <c r="T8" s="49">
        <f>$P$3*((1/(0.00094*$B$4)^4)+1.05)</f>
        <v>0.5141165757917939</v>
      </c>
      <c r="U8" s="61" t="str">
        <f>"dB/km at "&amp;B4&amp;" nm"</f>
        <v>dB/km at 1270 nm</v>
      </c>
      <c r="V8" s="73"/>
      <c r="W8" s="66"/>
      <c r="Y8" s="166" t="s">
        <v>116</v>
      </c>
      <c r="Z8" s="170">
        <v>2.563</v>
      </c>
      <c r="AA8" s="168" t="s">
        <v>67</v>
      </c>
      <c r="AB8" s="61"/>
      <c r="AC8" s="1"/>
      <c r="AD8" s="1"/>
      <c r="AE8" s="1"/>
      <c r="AF8" s="1"/>
    </row>
    <row r="9" spans="1:32" ht="15" customHeight="1">
      <c r="A9" s="62" t="s">
        <v>225</v>
      </c>
      <c r="B9" s="247">
        <f>B8-2*T3</f>
        <v>-133.52563299307755</v>
      </c>
      <c r="C9" s="102" t="s">
        <v>74</v>
      </c>
      <c r="D9" s="65" t="s">
        <v>85</v>
      </c>
      <c r="E9" s="145">
        <v>2500</v>
      </c>
      <c r="F9" s="73" t="s">
        <v>90</v>
      </c>
      <c r="G9" s="73"/>
      <c r="H9" s="61"/>
      <c r="I9" s="258" t="s">
        <v>233</v>
      </c>
      <c r="J9" s="122">
        <v>-2.5</v>
      </c>
      <c r="K9" s="250">
        <v>237</v>
      </c>
      <c r="L9" s="92" t="s">
        <v>164</v>
      </c>
      <c r="M9" s="67"/>
      <c r="N9" s="61"/>
      <c r="O9" s="62" t="s">
        <v>16</v>
      </c>
      <c r="P9" s="90">
        <f>(P8)</f>
        <v>0.2671118530884808</v>
      </c>
      <c r="Q9" s="66"/>
      <c r="R9" s="83"/>
      <c r="S9" s="91" t="s">
        <v>64</v>
      </c>
      <c r="T9" s="138">
        <f>T10*1000/$E$9</f>
        <v>131.6</v>
      </c>
      <c r="U9" s="92" t="s">
        <v>87</v>
      </c>
      <c r="V9" s="32"/>
      <c r="W9" s="41"/>
      <c r="Y9" s="171" t="s">
        <v>86</v>
      </c>
      <c r="Z9" s="193">
        <f>ERF(MAX(MIN($Z$8*$P$2*($P$9+1)/(SQRT(8)*$T$9),10),-10))+ERF(MAX(MIN($Z$8*$P$2*(1-$P$9)/(SQRT(8)*$T$9),10),-10))-1</f>
        <v>0.9672196550328276</v>
      </c>
      <c r="AA9" s="172" t="s">
        <v>67</v>
      </c>
      <c r="AB9" s="61"/>
      <c r="AC9" s="1"/>
      <c r="AD9" s="1"/>
      <c r="AE9" s="1"/>
      <c r="AF9" s="1"/>
    </row>
    <row r="10" spans="1:32" ht="15" customHeight="1">
      <c r="A10" s="273" t="s">
        <v>226</v>
      </c>
      <c r="B10" s="81">
        <v>0.8</v>
      </c>
      <c r="C10" s="73"/>
      <c r="D10" s="65" t="s">
        <v>58</v>
      </c>
      <c r="E10" s="81">
        <v>9</v>
      </c>
      <c r="F10" s="73"/>
      <c r="G10" s="62"/>
      <c r="H10" s="61"/>
      <c r="I10" s="62" t="s">
        <v>21</v>
      </c>
      <c r="J10" s="116">
        <v>7</v>
      </c>
      <c r="K10" s="61"/>
      <c r="L10" s="61"/>
      <c r="M10" s="67"/>
      <c r="N10" s="61"/>
      <c r="O10" s="62" t="s">
        <v>18</v>
      </c>
      <c r="P10" s="49">
        <f>S35-$T$6</f>
        <v>2.3798585265031704</v>
      </c>
      <c r="Q10" s="67" t="s">
        <v>19</v>
      </c>
      <c r="R10" s="83"/>
      <c r="S10" s="202" t="s">
        <v>141</v>
      </c>
      <c r="T10" s="234">
        <v>329</v>
      </c>
      <c r="U10" s="235" t="s">
        <v>91</v>
      </c>
      <c r="V10" s="73"/>
      <c r="W10" s="103" t="s">
        <v>20</v>
      </c>
      <c r="X10" s="66"/>
      <c r="Y10" s="12" t="s">
        <v>29</v>
      </c>
      <c r="Z10" s="12" t="s">
        <v>24</v>
      </c>
      <c r="AA10" s="150"/>
      <c r="AB10" s="61"/>
      <c r="AC10" s="1"/>
      <c r="AD10" s="1"/>
      <c r="AE10" s="1"/>
      <c r="AF10" s="1"/>
    </row>
    <row r="11" spans="1:32" ht="15" customHeight="1">
      <c r="A11" s="34" t="s">
        <v>17</v>
      </c>
      <c r="B11" s="240">
        <v>0</v>
      </c>
      <c r="C11" s="32"/>
      <c r="D11" s="45" t="s">
        <v>59</v>
      </c>
      <c r="E11" s="240">
        <v>2</v>
      </c>
      <c r="F11" s="32"/>
      <c r="G11" s="33"/>
      <c r="H11" s="33"/>
      <c r="I11" s="34" t="s">
        <v>65</v>
      </c>
      <c r="J11" s="35">
        <v>0</v>
      </c>
      <c r="K11" s="36" t="s">
        <v>57</v>
      </c>
      <c r="L11" s="37"/>
      <c r="M11" s="37"/>
      <c r="N11" s="33"/>
      <c r="O11" s="38" t="s">
        <v>53</v>
      </c>
      <c r="P11" s="39">
        <f>10*LOG10(1/SQRT(1-($J$6*J11)^2))</f>
        <v>0</v>
      </c>
      <c r="Q11" s="36" t="s">
        <v>54</v>
      </c>
      <c r="R11" s="57"/>
      <c r="S11" s="38" t="s">
        <v>52</v>
      </c>
      <c r="T11" s="40">
        <f>10*LOG10(1/SQRT(1-($J$6*$J$11/$Z$9)^2))</f>
        <v>0</v>
      </c>
      <c r="U11" s="236" t="s">
        <v>54</v>
      </c>
      <c r="V11" s="73"/>
      <c r="W11" s="93" t="s">
        <v>22</v>
      </c>
      <c r="X11" s="6" t="s">
        <v>23</v>
      </c>
      <c r="Y11" s="10" t="s">
        <v>77</v>
      </c>
      <c r="Z11" s="6" t="s">
        <v>30</v>
      </c>
      <c r="AA11" s="151" t="s">
        <v>68</v>
      </c>
      <c r="AB11" s="61"/>
      <c r="AC11" s="1"/>
      <c r="AD11" s="1"/>
      <c r="AE11" s="1"/>
      <c r="AF11" s="1"/>
    </row>
    <row r="12" spans="1:35" ht="15" customHeight="1">
      <c r="A12" s="242" t="s">
        <v>76</v>
      </c>
      <c r="B12" s="66" t="s">
        <v>215</v>
      </c>
      <c r="C12" s="66" t="s">
        <v>216</v>
      </c>
      <c r="D12" s="72" t="s">
        <v>70</v>
      </c>
      <c r="E12" s="72" t="s">
        <v>146</v>
      </c>
      <c r="F12" s="73" t="s">
        <v>71</v>
      </c>
      <c r="G12" s="73" t="s">
        <v>72</v>
      </c>
      <c r="H12" s="64" t="s">
        <v>32</v>
      </c>
      <c r="I12" s="65" t="s">
        <v>33</v>
      </c>
      <c r="J12" s="66" t="s">
        <v>34</v>
      </c>
      <c r="K12" s="67" t="s">
        <v>35</v>
      </c>
      <c r="L12" s="65" t="s">
        <v>36</v>
      </c>
      <c r="M12" s="65" t="s">
        <v>37</v>
      </c>
      <c r="N12" s="65" t="s">
        <v>38</v>
      </c>
      <c r="O12" s="68" t="s">
        <v>69</v>
      </c>
      <c r="P12" s="256" t="s">
        <v>175</v>
      </c>
      <c r="Q12" s="65" t="s">
        <v>39</v>
      </c>
      <c r="R12" s="69" t="s">
        <v>40</v>
      </c>
      <c r="S12" s="70" t="s">
        <v>42</v>
      </c>
      <c r="T12" s="68" t="s">
        <v>43</v>
      </c>
      <c r="U12" s="67" t="s">
        <v>44</v>
      </c>
      <c r="V12" s="71" t="s">
        <v>28</v>
      </c>
      <c r="W12" s="230" t="s">
        <v>27</v>
      </c>
      <c r="X12" s="6" t="s">
        <v>28</v>
      </c>
      <c r="Y12" s="5" t="s">
        <v>157</v>
      </c>
      <c r="Z12" s="5" t="s">
        <v>158</v>
      </c>
      <c r="AA12" s="151" t="s">
        <v>56</v>
      </c>
      <c r="AB12" s="66" t="s">
        <v>41</v>
      </c>
      <c r="AC12" s="156" t="s">
        <v>123</v>
      </c>
      <c r="AD12" s="1"/>
      <c r="AE12" s="146" t="s">
        <v>101</v>
      </c>
      <c r="AF12" s="173" t="s">
        <v>117</v>
      </c>
      <c r="AG12" s="180" t="s">
        <v>118</v>
      </c>
      <c r="AH12" s="157" t="s">
        <v>119</v>
      </c>
      <c r="AI12" s="157" t="s">
        <v>120</v>
      </c>
    </row>
    <row r="13" spans="1:35" s="33" customFormat="1" ht="15" customHeight="1">
      <c r="A13" s="120" t="s">
        <v>75</v>
      </c>
      <c r="B13" s="42" t="s">
        <v>217</v>
      </c>
      <c r="C13" s="42" t="s">
        <v>217</v>
      </c>
      <c r="D13" s="43" t="s">
        <v>73</v>
      </c>
      <c r="E13" s="43" t="s">
        <v>73</v>
      </c>
      <c r="F13" s="32" t="s">
        <v>97</v>
      </c>
      <c r="G13" s="32" t="s">
        <v>97</v>
      </c>
      <c r="H13" s="44" t="s">
        <v>25</v>
      </c>
      <c r="I13" s="45" t="s">
        <v>25</v>
      </c>
      <c r="J13" s="32"/>
      <c r="K13" s="46"/>
      <c r="L13" s="45" t="s">
        <v>25</v>
      </c>
      <c r="M13" s="45"/>
      <c r="N13" s="45" t="s">
        <v>25</v>
      </c>
      <c r="O13" s="45" t="s">
        <v>25</v>
      </c>
      <c r="P13" s="257" t="s">
        <v>25</v>
      </c>
      <c r="Q13" s="45" t="s">
        <v>25</v>
      </c>
      <c r="R13" s="58" t="s">
        <v>25</v>
      </c>
      <c r="S13" s="46" t="s">
        <v>25</v>
      </c>
      <c r="T13" s="47" t="s">
        <v>25</v>
      </c>
      <c r="U13" s="47" t="s">
        <v>26</v>
      </c>
      <c r="V13" s="48" t="s">
        <v>25</v>
      </c>
      <c r="W13" s="94" t="s">
        <v>45</v>
      </c>
      <c r="X13" s="42" t="s">
        <v>46</v>
      </c>
      <c r="Y13" s="42" t="s">
        <v>25</v>
      </c>
      <c r="Z13" s="42" t="s">
        <v>25</v>
      </c>
      <c r="AA13" s="152" t="s">
        <v>55</v>
      </c>
      <c r="AB13" s="42" t="s">
        <v>25</v>
      </c>
      <c r="AC13" s="132" t="s">
        <v>122</v>
      </c>
      <c r="AD13" s="133" t="s">
        <v>94</v>
      </c>
      <c r="AE13" s="133" t="s">
        <v>121</v>
      </c>
      <c r="AF13" s="174" t="s">
        <v>55</v>
      </c>
      <c r="AG13" s="181" t="s">
        <v>55</v>
      </c>
      <c r="AH13" s="181" t="s">
        <v>55</v>
      </c>
      <c r="AI13" s="181" t="s">
        <v>55</v>
      </c>
    </row>
    <row r="14" spans="1:35" s="114" customFormat="1" ht="15" customHeight="1">
      <c r="A14" s="121">
        <v>0.002</v>
      </c>
      <c r="B14" s="107">
        <f>A14*$B$3</f>
        <v>-0.0107029533860533</v>
      </c>
      <c r="C14" s="125">
        <f>A14*$Z$4</f>
        <v>8.0724E-05</v>
      </c>
      <c r="D14" s="108">
        <f>(0.187/$B$5)*10^6/(SQRT(B14^2+C14^2))</f>
        <v>28179542.046173353</v>
      </c>
      <c r="E14" s="108">
        <f>$E$7/A14</f>
        <v>166666666.66666666</v>
      </c>
      <c r="F14" s="140">
        <f>SQRT((1000*$J$5/D14)^2+(1000*$J$5/E14)^2+$P$4^2)</f>
        <v>151.80000098300093</v>
      </c>
      <c r="G14" s="140">
        <f aca="true" t="shared" si="0" ref="G14:G35">SQRT(F14^2+$T$9^2)</f>
        <v>200.9024646400314</v>
      </c>
      <c r="H14" s="109">
        <f aca="true" t="shared" si="1" ref="H14:H35">-10*LOG10(2*AG14-1)</f>
        <v>0.5166374691655045</v>
      </c>
      <c r="I14" s="107">
        <f aca="true" t="shared" si="2" ref="I14:I35">A14*$P$3*((1/(0.00094*$B$4)^4)+1.05)</f>
        <v>0.0010282331515835878</v>
      </c>
      <c r="J14" s="110">
        <f>(10^-6)*3.14*$P$6*B14*$B$5</f>
        <v>-6.957098381291674E-05</v>
      </c>
      <c r="K14" s="107">
        <f aca="true" t="shared" si="3" ref="K14:K35">($B$10/SQRT(2))*(1-EXP(-1*J14^2))</f>
        <v>2.7379863277329117E-09</v>
      </c>
      <c r="L14" s="107">
        <f aca="true" t="shared" si="4" ref="L14:L35">10*LOG10(1/SQRT(1-($J$6*K14)^2))</f>
        <v>9.64327466553287E-16</v>
      </c>
      <c r="M14" s="107"/>
      <c r="N14" s="107"/>
      <c r="O14" s="107">
        <f aca="true" t="shared" si="5" ref="O14:O35">10*LOG10(1/SQRT(1-($J$6*$J$6*((($J$11/AA14)^2)+M14+(K14*K14)))))-$T$11-L14-N14</f>
        <v>0</v>
      </c>
      <c r="P14" s="175">
        <f aca="true" t="shared" si="6" ref="P14:P35">Y14-Z14</f>
        <v>5.006190046751059</v>
      </c>
      <c r="Q14" s="107">
        <f aca="true" t="shared" si="7" ref="Q14:Q35">$B$11</f>
        <v>0</v>
      </c>
      <c r="R14" s="203">
        <f aca="true" t="shared" si="8" ref="R14:R35">-10*LOG10(AA14)-H14</f>
        <v>0.3291774013955745</v>
      </c>
      <c r="S14" s="255">
        <f>H14+I14+L14+N14+O14+Q14+R14</f>
        <v>0.8468431037126636</v>
      </c>
      <c r="T14" s="107">
        <f aca="true" t="shared" si="9" ref="T14:T35">$E$11+I14</f>
        <v>2.0010282331515836</v>
      </c>
      <c r="U14" s="107">
        <f aca="true" t="shared" si="10" ref="U14:U35">S14-I14</f>
        <v>0.84581487056108</v>
      </c>
      <c r="V14" s="112">
        <f aca="true" t="shared" si="11" ref="V14:V35">$T$6-S14</f>
        <v>6.153156896287337</v>
      </c>
      <c r="W14" s="113">
        <f aca="true" t="shared" si="12" ref="W14:W35">$J$9-T14-R14-$T$5</f>
        <v>-9.836395681298217</v>
      </c>
      <c r="X14" s="111"/>
      <c r="Y14" s="107">
        <f aca="true" t="shared" si="13" ref="Y14:Y35">10*LOG10((1+10^(-($B$6/10)))/(1-10^(-($B$6/10))))</f>
        <v>6.762816496538772</v>
      </c>
      <c r="Z14" s="107">
        <f aca="true" t="shared" si="14" ref="Z14:Z35">10*LOG10((1+10^(-($J$10/10)))/(1-10^(-($J$10/10))))</f>
        <v>1.7566264497877127</v>
      </c>
      <c r="AA14" s="175">
        <f>ERF(AH14)+ERF(AI14)-1</f>
        <v>0.8230353955767753</v>
      </c>
      <c r="AB14" s="111">
        <f aca="true" t="shared" si="15" ref="AB14:AB35">$E$10-$E$11</f>
        <v>7</v>
      </c>
      <c r="AC14" s="134"/>
      <c r="AD14" s="135"/>
      <c r="AE14" s="110"/>
      <c r="AF14" s="178">
        <f aca="true" t="shared" si="16" ref="AF14:AF35">$Z$8*$P$2/(SQRT(8)*G14)</f>
        <v>1.3508750320380365</v>
      </c>
      <c r="AG14" s="182">
        <f>IF(ABS(AF14)&lt;10,SIGN(AF14)*ERF(ABS(AF14)),SIGN(AF14))</f>
        <v>0.943921579872487</v>
      </c>
      <c r="AH14" s="188">
        <f aca="true" t="shared" si="17" ref="AH14:AH35">MAX(MIN($Z$8*$P$2*($P$9+1)/(SQRT(8)*G14),10),-10)</f>
        <v>1.7117097651366775</v>
      </c>
      <c r="AI14" s="189">
        <f aca="true" t="shared" si="18" ref="AI14:AI35">MAX(MIN($Z$8*$P$2*(1-$P$9)/(SQRT(8)*G14),10),-10)</f>
        <v>0.9900402989393956</v>
      </c>
    </row>
    <row r="15" spans="1:35" s="20" customFormat="1" ht="15" customHeight="1">
      <c r="A15" s="261">
        <f>$J$3</f>
        <v>7.5</v>
      </c>
      <c r="B15" s="270">
        <f>A15*$B$3</f>
        <v>-40.136075197699874</v>
      </c>
      <c r="C15" s="127">
        <f>A15*$Z$4</f>
        <v>0.30271499999999996</v>
      </c>
      <c r="D15" s="142">
        <f>(0.187/$B$5)*10^6/(SQRT(B15^2+C15^2))</f>
        <v>7514.544545646229</v>
      </c>
      <c r="E15" s="142">
        <f>$E$7/A15</f>
        <v>44444.444444444445</v>
      </c>
      <c r="F15" s="104">
        <f aca="true" t="shared" si="19" ref="F15:F35">SQRT((1000*$J$5/D15)^2+(1000*$J$5/E15)^2+$P$4^2)</f>
        <v>165.04556816484478</v>
      </c>
      <c r="G15" s="165">
        <f t="shared" si="0"/>
        <v>211.0890797053614</v>
      </c>
      <c r="H15" s="98">
        <f t="shared" si="1"/>
        <v>0.6452141368783559</v>
      </c>
      <c r="I15" s="95">
        <f t="shared" si="2"/>
        <v>3.8558743184384547</v>
      </c>
      <c r="J15" s="95">
        <f>(10^-6)*3.14*$P$6*B15*$B$5</f>
        <v>-0.26089118929843774</v>
      </c>
      <c r="K15" s="95">
        <f t="shared" si="3"/>
        <v>0.037221827079882135</v>
      </c>
      <c r="L15" s="95">
        <f t="shared" si="4"/>
        <v>0.1543359059389453</v>
      </c>
      <c r="M15" s="95">
        <f>$P$5*10^9*($J$5/G15)*10^($B$8/10)</f>
        <v>0.0015917450607534484</v>
      </c>
      <c r="N15" s="95">
        <f aca="true" t="shared" si="20" ref="N15:N35">10*LOG10(1/SQRT(1-($J$6^2)*M15))</f>
        <v>0.1782827104570467</v>
      </c>
      <c r="O15" s="95">
        <f t="shared" si="5"/>
        <v>0.013729964088263269</v>
      </c>
      <c r="P15" s="207">
        <f t="shared" si="6"/>
        <v>5.006190046751059</v>
      </c>
      <c r="Q15" s="95">
        <f t="shared" si="7"/>
        <v>0</v>
      </c>
      <c r="R15" s="194">
        <f t="shared" si="8"/>
        <v>0.3451296388075722</v>
      </c>
      <c r="S15" s="96">
        <f>H15+I15+L15+N15+O15+Q15+R15</f>
        <v>5.192566674608638</v>
      </c>
      <c r="T15" s="95">
        <f t="shared" si="9"/>
        <v>5.855874318438454</v>
      </c>
      <c r="U15" s="95">
        <f t="shared" si="10"/>
        <v>1.336692356170183</v>
      </c>
      <c r="V15" s="100">
        <f t="shared" si="11"/>
        <v>1.8074333253913624</v>
      </c>
      <c r="W15" s="254">
        <f t="shared" si="12"/>
        <v>-13.707194003997085</v>
      </c>
      <c r="X15" s="19"/>
      <c r="Y15" s="18">
        <f t="shared" si="13"/>
        <v>6.762816496538772</v>
      </c>
      <c r="Z15" s="18">
        <f t="shared" si="14"/>
        <v>1.7566264497877127</v>
      </c>
      <c r="AA15" s="206">
        <f>ERF(AH15)+ERF(AI15)-1</f>
        <v>0.7960963311053528</v>
      </c>
      <c r="AB15" s="99">
        <f t="shared" si="15"/>
        <v>7</v>
      </c>
      <c r="AC15" s="183">
        <f aca="true" t="shared" si="21" ref="AC15:AC35">$J$2</f>
        <v>10</v>
      </c>
      <c r="AD15" s="185">
        <v>0</v>
      </c>
      <c r="AE15" s="198">
        <f aca="true" t="shared" si="22" ref="AE15:AE35">IF(A15=$J$2,V15,0)</f>
        <v>0</v>
      </c>
      <c r="AF15" s="153">
        <f t="shared" si="16"/>
        <v>1.2856852838428943</v>
      </c>
      <c r="AG15" s="176">
        <f>IF(ABS(AF15)&lt;10,SIGN(AF15)*ERF(ABS(AF15)),SIGN(AF15))</f>
        <v>0.9309715389849632</v>
      </c>
      <c r="AH15" s="191">
        <f t="shared" si="17"/>
        <v>1.6291070624987591</v>
      </c>
      <c r="AI15" s="192">
        <f t="shared" si="18"/>
        <v>0.9422635051870292</v>
      </c>
    </row>
    <row r="16" spans="1:35" s="26" customFormat="1" ht="15" customHeight="1">
      <c r="A16" s="262">
        <f aca="true" t="shared" si="23" ref="A16:A35">A15+$J$4</f>
        <v>7.75</v>
      </c>
      <c r="B16" s="271">
        <f>A16*$B$3</f>
        <v>-41.47394437095654</v>
      </c>
      <c r="C16" s="128">
        <f>A16*$Z$4</f>
        <v>0.31280549999999996</v>
      </c>
      <c r="D16" s="143">
        <f>(0.187/$B$5)*10^6/(SQRT(B16^2+C16^2))</f>
        <v>7272.139882883447</v>
      </c>
      <c r="E16" s="143">
        <f>$E$7/A16</f>
        <v>43010.75268817204</v>
      </c>
      <c r="F16" s="105">
        <f t="shared" si="19"/>
        <v>165.9050611631478</v>
      </c>
      <c r="G16" s="105">
        <f t="shared" si="0"/>
        <v>211.7617749253812</v>
      </c>
      <c r="H16" s="50">
        <f t="shared" si="1"/>
        <v>0.6541623472234727</v>
      </c>
      <c r="I16" s="49">
        <f t="shared" si="2"/>
        <v>3.984403462386403</v>
      </c>
      <c r="J16" s="49">
        <f aca="true" t="shared" si="24" ref="J16:J35">(10^-6)*3.14*$P$6*B16*$B$5</f>
        <v>-0.2695875622750524</v>
      </c>
      <c r="K16" s="49">
        <f t="shared" si="3"/>
        <v>0.03965414231678624</v>
      </c>
      <c r="L16" s="49">
        <f t="shared" si="4"/>
        <v>0.17603166423562833</v>
      </c>
      <c r="M16" s="49">
        <f aca="true" t="shared" si="25" ref="M16:M33">$P$5*10^9*($J$5/G16)*10^($B$8/10)</f>
        <v>0.0015866886274371133</v>
      </c>
      <c r="N16" s="49">
        <f t="shared" si="20"/>
        <v>0.17769254847851262</v>
      </c>
      <c r="O16" s="49">
        <f t="shared" si="5"/>
        <v>0.01569229549735479</v>
      </c>
      <c r="P16" s="205">
        <f t="shared" si="6"/>
        <v>5.006190046751059</v>
      </c>
      <c r="Q16" s="49">
        <f t="shared" si="7"/>
        <v>0</v>
      </c>
      <c r="R16" s="197">
        <f t="shared" si="8"/>
        <v>0.34605748078425125</v>
      </c>
      <c r="S16" s="53">
        <f aca="true" t="shared" si="26" ref="S16:S35">H16+I16+L16+N16+O16+Q16+R16</f>
        <v>5.354039798605624</v>
      </c>
      <c r="T16" s="49">
        <f t="shared" si="9"/>
        <v>5.984403462386403</v>
      </c>
      <c r="U16" s="49">
        <f t="shared" si="10"/>
        <v>1.3696363362192208</v>
      </c>
      <c r="V16" s="54">
        <f t="shared" si="11"/>
        <v>1.6459602013943764</v>
      </c>
      <c r="W16" s="97">
        <f t="shared" si="12"/>
        <v>-13.836650989921715</v>
      </c>
      <c r="X16" s="25">
        <f aca="true" t="shared" si="27" ref="X16:X34">(V17-V15)/2</f>
        <v>-0.16288808231100083</v>
      </c>
      <c r="Y16" s="23">
        <f t="shared" si="13"/>
        <v>6.762816496538772</v>
      </c>
      <c r="Z16" s="23">
        <f t="shared" si="14"/>
        <v>1.7566264497877127</v>
      </c>
      <c r="AA16" s="205">
        <f>ERF(AH16)+ERF(AI16)-1</f>
        <v>0.7942880290156238</v>
      </c>
      <c r="AB16" s="52">
        <f t="shared" si="15"/>
        <v>7</v>
      </c>
      <c r="AC16" s="136">
        <f t="shared" si="21"/>
        <v>10</v>
      </c>
      <c r="AD16" s="137">
        <f aca="true" t="shared" si="28" ref="AD16:AD34">AD17</f>
        <v>8.9</v>
      </c>
      <c r="AE16" s="199">
        <f t="shared" si="22"/>
        <v>0</v>
      </c>
      <c r="AF16" s="154">
        <f t="shared" si="16"/>
        <v>1.2816010984643214</v>
      </c>
      <c r="AG16" s="177">
        <f>IF(ABS(AF16)&lt;10,SIGN(AF16)*ERF(ABS(AF16)),SIGN(AF16))</f>
        <v>0.9300844787112827</v>
      </c>
      <c r="AH16" s="193">
        <f t="shared" si="17"/>
        <v>1.623931942795359</v>
      </c>
      <c r="AI16" s="193">
        <f t="shared" si="18"/>
        <v>0.9392702541332839</v>
      </c>
    </row>
    <row r="17" spans="1:35" s="26" customFormat="1" ht="15" customHeight="1">
      <c r="A17" s="262">
        <f t="shared" si="23"/>
        <v>8</v>
      </c>
      <c r="B17" s="271">
        <f aca="true" t="shared" si="29" ref="B17:B34">A17*$B$3</f>
        <v>-42.8118135442132</v>
      </c>
      <c r="C17" s="128">
        <f aca="true" t="shared" si="30" ref="C17:C34">A17*$Z$4</f>
        <v>0.32289599999999996</v>
      </c>
      <c r="D17" s="143">
        <f aca="true" t="shared" si="31" ref="D17:D35">(0.187/$B$5)*10^6/(SQRT(B17^2+C17^2))</f>
        <v>7044.885511543339</v>
      </c>
      <c r="E17" s="143">
        <f aca="true" t="shared" si="32" ref="E17:E34">$E$7/A17</f>
        <v>41666.666666666664</v>
      </c>
      <c r="F17" s="105">
        <f t="shared" si="19"/>
        <v>166.78808497464007</v>
      </c>
      <c r="G17" s="105">
        <f t="shared" si="0"/>
        <v>212.45428988257157</v>
      </c>
      <c r="H17" s="50">
        <f t="shared" si="1"/>
        <v>0.6634319528026107</v>
      </c>
      <c r="I17" s="49">
        <f t="shared" si="2"/>
        <v>4.112932606334351</v>
      </c>
      <c r="J17" s="49">
        <f t="shared" si="24"/>
        <v>-0.27828393525166695</v>
      </c>
      <c r="K17" s="49">
        <f t="shared" si="3"/>
        <v>0.04215445458029494</v>
      </c>
      <c r="L17" s="49">
        <f t="shared" si="4"/>
        <v>0.200015859852917</v>
      </c>
      <c r="M17" s="49">
        <f t="shared" si="25"/>
        <v>0.001581516664999869</v>
      </c>
      <c r="N17" s="49">
        <f t="shared" si="20"/>
        <v>0.1770890683974274</v>
      </c>
      <c r="O17" s="49">
        <f t="shared" si="5"/>
        <v>0.017876093188861297</v>
      </c>
      <c r="P17" s="205">
        <f t="shared" si="6"/>
        <v>5.006190046751059</v>
      </c>
      <c r="Q17" s="49">
        <f t="shared" si="7"/>
        <v>0</v>
      </c>
      <c r="R17" s="197">
        <f t="shared" si="8"/>
        <v>0.3469972586544714</v>
      </c>
      <c r="S17" s="53">
        <f t="shared" si="26"/>
        <v>5.518342839230639</v>
      </c>
      <c r="T17" s="49">
        <f t="shared" si="9"/>
        <v>6.112932606334351</v>
      </c>
      <c r="U17" s="49">
        <f t="shared" si="10"/>
        <v>1.4054102328962879</v>
      </c>
      <c r="V17" s="54">
        <f t="shared" si="11"/>
        <v>1.4816571607693607</v>
      </c>
      <c r="W17" s="97">
        <f t="shared" si="12"/>
        <v>-13.96611991173988</v>
      </c>
      <c r="X17" s="25">
        <f t="shared" si="27"/>
        <v>-0.1658220632812304</v>
      </c>
      <c r="Y17" s="23">
        <f t="shared" si="13"/>
        <v>6.762816496538772</v>
      </c>
      <c r="Z17" s="23">
        <f t="shared" si="14"/>
        <v>1.7566264497877127</v>
      </c>
      <c r="AA17" s="205">
        <f>ERF(AH17)+ERF(AI17)-1</f>
        <v>0.7924230117688493</v>
      </c>
      <c r="AB17" s="52">
        <f t="shared" si="15"/>
        <v>7</v>
      </c>
      <c r="AC17" s="136">
        <f t="shared" si="21"/>
        <v>10</v>
      </c>
      <c r="AD17" s="137">
        <f t="shared" si="28"/>
        <v>8.9</v>
      </c>
      <c r="AE17" s="199">
        <f t="shared" si="22"/>
        <v>0</v>
      </c>
      <c r="AF17" s="154">
        <f t="shared" si="16"/>
        <v>1.2774235978342858</v>
      </c>
      <c r="AG17" s="177">
        <f>IF(ABS(AF17)&lt;10,SIGN(AF17)*ERF(ABS(AF17)),SIGN(AF17))</f>
        <v>0.9291674829761275</v>
      </c>
      <c r="AH17" s="193">
        <f t="shared" si="17"/>
        <v>1.6186385822307563</v>
      </c>
      <c r="AI17" s="193">
        <f t="shared" si="18"/>
        <v>0.9362086134378155</v>
      </c>
    </row>
    <row r="18" spans="1:35" s="26" customFormat="1" ht="15" customHeight="1">
      <c r="A18" s="262">
        <f t="shared" si="23"/>
        <v>8.25</v>
      </c>
      <c r="B18" s="271">
        <f t="shared" si="29"/>
        <v>-44.149682717469865</v>
      </c>
      <c r="C18" s="128">
        <f t="shared" si="30"/>
        <v>0.33298649999999996</v>
      </c>
      <c r="D18" s="143">
        <f t="shared" si="31"/>
        <v>6831.404132405662</v>
      </c>
      <c r="E18" s="143">
        <f t="shared" si="32"/>
        <v>40404.0404040404</v>
      </c>
      <c r="F18" s="105">
        <f t="shared" si="19"/>
        <v>167.6942678827642</v>
      </c>
      <c r="G18" s="105">
        <f t="shared" si="0"/>
        <v>213.16643141155288</v>
      </c>
      <c r="H18" s="50">
        <f t="shared" si="1"/>
        <v>0.6730249743750958</v>
      </c>
      <c r="I18" s="49">
        <f t="shared" si="2"/>
        <v>4.2414617502823</v>
      </c>
      <c r="J18" s="49">
        <f t="shared" si="24"/>
        <v>-0.2869803082282815</v>
      </c>
      <c r="K18" s="49">
        <f t="shared" si="3"/>
        <v>0.04472168616060915</v>
      </c>
      <c r="L18" s="49">
        <f t="shared" si="4"/>
        <v>0.2264728949621262</v>
      </c>
      <c r="M18" s="49">
        <f t="shared" si="25"/>
        <v>0.0015762331703686341</v>
      </c>
      <c r="N18" s="49">
        <f t="shared" si="20"/>
        <v>0.1764727475357676</v>
      </c>
      <c r="O18" s="49">
        <f t="shared" si="5"/>
        <v>0.02030389023676657</v>
      </c>
      <c r="P18" s="205">
        <f t="shared" si="6"/>
        <v>5.006190046751059</v>
      </c>
      <c r="Q18" s="49">
        <f t="shared" si="7"/>
        <v>0</v>
      </c>
      <c r="R18" s="197">
        <f t="shared" si="8"/>
        <v>0.34794766777602804</v>
      </c>
      <c r="S18" s="53">
        <f t="shared" si="26"/>
        <v>5.685683925168084</v>
      </c>
      <c r="T18" s="49">
        <f t="shared" si="9"/>
        <v>6.2414617502823</v>
      </c>
      <c r="U18" s="49">
        <f t="shared" si="10"/>
        <v>1.444222174885784</v>
      </c>
      <c r="V18" s="54">
        <f t="shared" si="11"/>
        <v>1.3143160748319156</v>
      </c>
      <c r="W18" s="97">
        <f t="shared" si="12"/>
        <v>-14.09559946480939</v>
      </c>
      <c r="X18" s="25">
        <f t="shared" si="27"/>
        <v>-0.16897356198804037</v>
      </c>
      <c r="Y18" s="23">
        <f t="shared" si="13"/>
        <v>6.762816496538772</v>
      </c>
      <c r="Z18" s="23">
        <f t="shared" si="14"/>
        <v>1.7566264497877127</v>
      </c>
      <c r="AA18" s="205">
        <f>ERF(AH18)+ERF(AI18)-1</f>
        <v>0.7905015681285934</v>
      </c>
      <c r="AB18" s="52">
        <f t="shared" si="15"/>
        <v>7</v>
      </c>
      <c r="AC18" s="136">
        <f t="shared" si="21"/>
        <v>10</v>
      </c>
      <c r="AD18" s="137">
        <f t="shared" si="28"/>
        <v>8.9</v>
      </c>
      <c r="AE18" s="199">
        <f t="shared" si="22"/>
        <v>0</v>
      </c>
      <c r="AF18" s="154">
        <f t="shared" si="16"/>
        <v>1.273156010353018</v>
      </c>
      <c r="AG18" s="177">
        <f>IF(ABS(AF18)&lt;10,SIGN(AF18)*ERF(ABS(AF18)),SIGN(AF18))</f>
        <v>0.9282205519289519</v>
      </c>
      <c r="AH18" s="193">
        <f t="shared" si="17"/>
        <v>1.6132310715491498</v>
      </c>
      <c r="AI18" s="193">
        <f t="shared" si="18"/>
        <v>0.9330809491568861</v>
      </c>
    </row>
    <row r="19" spans="1:35" s="26" customFormat="1" ht="15" customHeight="1">
      <c r="A19" s="262">
        <f t="shared" si="23"/>
        <v>8.5</v>
      </c>
      <c r="B19" s="271">
        <f t="shared" si="29"/>
        <v>-45.48755189072653</v>
      </c>
      <c r="C19" s="128">
        <f t="shared" si="30"/>
        <v>0.34307699999999997</v>
      </c>
      <c r="D19" s="143">
        <f t="shared" si="31"/>
        <v>6630.480481452553</v>
      </c>
      <c r="E19" s="143">
        <f t="shared" si="32"/>
        <v>39215.686274509804</v>
      </c>
      <c r="F19" s="105">
        <f t="shared" si="19"/>
        <v>168.6232365163039</v>
      </c>
      <c r="G19" s="105">
        <f t="shared" si="0"/>
        <v>213.89800348117643</v>
      </c>
      <c r="H19" s="50">
        <f t="shared" si="1"/>
        <v>0.6829435174397612</v>
      </c>
      <c r="I19" s="49">
        <f t="shared" si="2"/>
        <v>4.369990894230249</v>
      </c>
      <c r="J19" s="49">
        <f t="shared" si="24"/>
        <v>-0.29567668120489615</v>
      </c>
      <c r="K19" s="49">
        <f t="shared" si="3"/>
        <v>0.04735473426201027</v>
      </c>
      <c r="L19" s="49">
        <f t="shared" si="4"/>
        <v>0.25560292709571036</v>
      </c>
      <c r="M19" s="49">
        <f t="shared" si="25"/>
        <v>0.0015708421515470987</v>
      </c>
      <c r="N19" s="49">
        <f t="shared" si="20"/>
        <v>0.17584406420496232</v>
      </c>
      <c r="O19" s="49">
        <f t="shared" si="5"/>
        <v>0.02300124619452512</v>
      </c>
      <c r="P19" s="205">
        <f t="shared" si="6"/>
        <v>5.006190046751059</v>
      </c>
      <c r="Q19" s="49">
        <f t="shared" si="7"/>
        <v>0</v>
      </c>
      <c r="R19" s="197">
        <f t="shared" si="8"/>
        <v>0.34890731404151343</v>
      </c>
      <c r="S19" s="53">
        <f t="shared" si="26"/>
        <v>5.85628996320672</v>
      </c>
      <c r="T19" s="49">
        <f t="shared" si="9"/>
        <v>6.369990894230249</v>
      </c>
      <c r="U19" s="49">
        <f t="shared" si="10"/>
        <v>1.4862990689764715</v>
      </c>
      <c r="V19" s="54">
        <f t="shared" si="11"/>
        <v>1.14371003679328</v>
      </c>
      <c r="W19" s="97">
        <f t="shared" si="12"/>
        <v>-14.225088255022822</v>
      </c>
      <c r="X19" s="25">
        <f t="shared" si="27"/>
        <v>-0.17236283590473134</v>
      </c>
      <c r="Y19" s="23">
        <f t="shared" si="13"/>
        <v>6.762816496538772</v>
      </c>
      <c r="Z19" s="23">
        <f t="shared" si="14"/>
        <v>1.7566264497877127</v>
      </c>
      <c r="AA19" s="205">
        <f>ERF(AH19)+ERF(AI19)-1</f>
        <v>0.7885240009670418</v>
      </c>
      <c r="AB19" s="52">
        <f t="shared" si="15"/>
        <v>7</v>
      </c>
      <c r="AC19" s="136">
        <f t="shared" si="21"/>
        <v>10</v>
      </c>
      <c r="AD19" s="137">
        <f t="shared" si="28"/>
        <v>8.9</v>
      </c>
      <c r="AE19" s="199">
        <f t="shared" si="22"/>
        <v>0</v>
      </c>
      <c r="AF19" s="154">
        <f t="shared" si="16"/>
        <v>1.2688015733676836</v>
      </c>
      <c r="AG19" s="177">
        <f>IF(ABS(AF19)&lt;10,SIGN(AF19)*ERF(ABS(AF19)),SIGN(AF19))</f>
        <v>0.9272436853622124</v>
      </c>
      <c r="AH19" s="193">
        <f t="shared" si="17"/>
        <v>1.6077135128315057</v>
      </c>
      <c r="AI19" s="193">
        <f t="shared" si="18"/>
        <v>0.9298896339038615</v>
      </c>
    </row>
    <row r="20" spans="1:35" s="20" customFormat="1" ht="15" customHeight="1">
      <c r="A20" s="261">
        <f t="shared" si="23"/>
        <v>8.75</v>
      </c>
      <c r="B20" s="270">
        <f t="shared" si="29"/>
        <v>-46.82542106398319</v>
      </c>
      <c r="C20" s="127">
        <f t="shared" si="30"/>
        <v>0.35316749999999997</v>
      </c>
      <c r="D20" s="142">
        <f t="shared" si="31"/>
        <v>6441.038181982481</v>
      </c>
      <c r="E20" s="142">
        <f t="shared" si="32"/>
        <v>38095.23809523809</v>
      </c>
      <c r="F20" s="104">
        <f t="shared" si="19"/>
        <v>169.57461639938634</v>
      </c>
      <c r="G20" s="104">
        <f t="shared" si="0"/>
        <v>214.6488074203978</v>
      </c>
      <c r="H20" s="98">
        <f t="shared" si="1"/>
        <v>0.6931896697780932</v>
      </c>
      <c r="I20" s="95">
        <f t="shared" si="2"/>
        <v>4.498520038178197</v>
      </c>
      <c r="J20" s="95">
        <f t="shared" si="24"/>
        <v>-0.3043730541815107</v>
      </c>
      <c r="K20" s="95">
        <f t="shared" si="3"/>
        <v>0.050052471791363067</v>
      </c>
      <c r="L20" s="95">
        <f t="shared" si="4"/>
        <v>0.2876242285023534</v>
      </c>
      <c r="M20" s="95">
        <f t="shared" si="25"/>
        <v>0.0015653476207856648</v>
      </c>
      <c r="N20" s="95">
        <f t="shared" si="20"/>
        <v>0.17520349688053394</v>
      </c>
      <c r="O20" s="95">
        <f t="shared" si="5"/>
        <v>0.02599734889205324</v>
      </c>
      <c r="P20" s="207">
        <f t="shared" si="6"/>
        <v>5.006190046751059</v>
      </c>
      <c r="Q20" s="95">
        <f t="shared" si="7"/>
        <v>0</v>
      </c>
      <c r="R20" s="196">
        <f t="shared" si="8"/>
        <v>0.34987481474631743</v>
      </c>
      <c r="S20" s="96">
        <f t="shared" si="26"/>
        <v>6.030409596977547</v>
      </c>
      <c r="T20" s="95">
        <f t="shared" si="9"/>
        <v>6.498520038178197</v>
      </c>
      <c r="U20" s="95">
        <f t="shared" si="10"/>
        <v>1.5318895587993504</v>
      </c>
      <c r="V20" s="100">
        <f t="shared" si="11"/>
        <v>0.9695904030224529</v>
      </c>
      <c r="W20" s="101">
        <f t="shared" si="12"/>
        <v>-14.354584899675572</v>
      </c>
      <c r="X20" s="27">
        <f t="shared" si="27"/>
        <v>-0.1760134061154992</v>
      </c>
      <c r="Y20" s="18">
        <f t="shared" si="13"/>
        <v>6.762816496538772</v>
      </c>
      <c r="Z20" s="18">
        <f t="shared" si="14"/>
        <v>1.7566264497877127</v>
      </c>
      <c r="AA20" s="207">
        <f>ERF(AH20)+ERF(AI20)-1</f>
        <v>0.7864906274722452</v>
      </c>
      <c r="AB20" s="99">
        <f t="shared" si="15"/>
        <v>7</v>
      </c>
      <c r="AC20" s="183">
        <f t="shared" si="21"/>
        <v>10</v>
      </c>
      <c r="AD20" s="184">
        <f t="shared" si="28"/>
        <v>8.9</v>
      </c>
      <c r="AE20" s="198">
        <f t="shared" si="22"/>
        <v>0</v>
      </c>
      <c r="AF20" s="153">
        <f t="shared" si="16"/>
        <v>1.2643635276556056</v>
      </c>
      <c r="AG20" s="176">
        <f>IF(ABS(AF20)&lt;10,SIGN(AF20)*ERF(ABS(AF20)),SIGN(AF20))</f>
        <v>0.9262368929286094</v>
      </c>
      <c r="AH20" s="191">
        <f t="shared" si="17"/>
        <v>1.6020900125051831</v>
      </c>
      <c r="AI20" s="191">
        <f t="shared" si="18"/>
        <v>0.9266370428060281</v>
      </c>
    </row>
    <row r="21" spans="1:35" s="26" customFormat="1" ht="15" customHeight="1">
      <c r="A21" s="262">
        <f t="shared" si="23"/>
        <v>9</v>
      </c>
      <c r="B21" s="271">
        <f t="shared" si="29"/>
        <v>-48.16329023723985</v>
      </c>
      <c r="C21" s="128">
        <f t="shared" si="30"/>
        <v>0.36325799999999997</v>
      </c>
      <c r="D21" s="143">
        <f t="shared" si="31"/>
        <v>6262.12045470519</v>
      </c>
      <c r="E21" s="143">
        <f t="shared" si="32"/>
        <v>37037.03703703704</v>
      </c>
      <c r="F21" s="105">
        <f t="shared" si="19"/>
        <v>170.54803247775465</v>
      </c>
      <c r="G21" s="105">
        <f t="shared" si="0"/>
        <v>215.41864214137377</v>
      </c>
      <c r="H21" s="50">
        <f t="shared" si="1"/>
        <v>0.703765496611241</v>
      </c>
      <c r="I21" s="49">
        <f t="shared" si="2"/>
        <v>4.627049182126146</v>
      </c>
      <c r="J21" s="49">
        <f t="shared" si="24"/>
        <v>-0.31306942715812525</v>
      </c>
      <c r="K21" s="49">
        <f t="shared" si="3"/>
        <v>0.05281374816101978</v>
      </c>
      <c r="L21" s="49">
        <f t="shared" si="4"/>
        <v>0.32277601137861656</v>
      </c>
      <c r="M21" s="49">
        <f t="shared" si="25"/>
        <v>0.0015597535879902714</v>
      </c>
      <c r="N21" s="49">
        <f t="shared" si="20"/>
        <v>0.17455152340698793</v>
      </c>
      <c r="O21" s="49">
        <f t="shared" si="5"/>
        <v>0.02932576000513737</v>
      </c>
      <c r="P21" s="205">
        <f t="shared" si="6"/>
        <v>5.006190046751059</v>
      </c>
      <c r="Q21" s="49">
        <f t="shared" si="7"/>
        <v>0</v>
      </c>
      <c r="R21" s="197">
        <f t="shared" si="8"/>
        <v>0.3508488019095901</v>
      </c>
      <c r="S21" s="53">
        <f t="shared" si="26"/>
        <v>6.208316775437718</v>
      </c>
      <c r="T21" s="49">
        <f t="shared" si="9"/>
        <v>6.627049182126146</v>
      </c>
      <c r="U21" s="49">
        <f t="shared" si="10"/>
        <v>1.5812675933115727</v>
      </c>
      <c r="V21" s="54">
        <f t="shared" si="11"/>
        <v>0.7916832245622816</v>
      </c>
      <c r="W21" s="97">
        <f t="shared" si="12"/>
        <v>-14.484088030786797</v>
      </c>
      <c r="X21" s="25">
        <f t="shared" si="27"/>
        <v>-0.17995274168860487</v>
      </c>
      <c r="Y21" s="23">
        <f t="shared" si="13"/>
        <v>6.762816496538772</v>
      </c>
      <c r="Z21" s="23">
        <f t="shared" si="14"/>
        <v>1.7566264497877127</v>
      </c>
      <c r="AA21" s="205">
        <f>ERF(AH21)+ERF(AI21)-1</f>
        <v>0.7844017793323912</v>
      </c>
      <c r="AB21" s="52">
        <f t="shared" si="15"/>
        <v>7</v>
      </c>
      <c r="AC21" s="136">
        <f t="shared" si="21"/>
        <v>10</v>
      </c>
      <c r="AD21" s="137">
        <f t="shared" si="28"/>
        <v>8.9</v>
      </c>
      <c r="AE21" s="199">
        <f t="shared" si="22"/>
        <v>0</v>
      </c>
      <c r="AF21" s="154">
        <f t="shared" si="16"/>
        <v>1.2598451121004368</v>
      </c>
      <c r="AG21" s="177">
        <f>IF(ABS(AF21)&lt;10,SIGN(AF21)*ERF(ABS(AF21)),SIGN(AF21))</f>
        <v>0.9252001946601505</v>
      </c>
      <c r="AH21" s="193">
        <f t="shared" si="17"/>
        <v>1.5963646745980493</v>
      </c>
      <c r="AI21" s="193">
        <f t="shared" si="18"/>
        <v>0.9233255496028242</v>
      </c>
    </row>
    <row r="22" spans="1:35" s="26" customFormat="1" ht="15" customHeight="1">
      <c r="A22" s="262">
        <f t="shared" si="23"/>
        <v>9.25</v>
      </c>
      <c r="B22" s="271">
        <f t="shared" si="29"/>
        <v>-49.50115941049651</v>
      </c>
      <c r="C22" s="128">
        <f t="shared" si="30"/>
        <v>0.37334849999999997</v>
      </c>
      <c r="D22" s="143">
        <f t="shared" si="31"/>
        <v>6092.873955929374</v>
      </c>
      <c r="E22" s="143">
        <f t="shared" si="32"/>
        <v>36036.036036036036</v>
      </c>
      <c r="F22" s="105">
        <f t="shared" si="19"/>
        <v>171.54310962068996</v>
      </c>
      <c r="G22" s="105">
        <f t="shared" si="0"/>
        <v>216.20730435934874</v>
      </c>
      <c r="H22" s="50">
        <f t="shared" si="1"/>
        <v>0.7146730359346541</v>
      </c>
      <c r="I22" s="49">
        <f t="shared" si="2"/>
        <v>4.755578326074094</v>
      </c>
      <c r="J22" s="49">
        <f t="shared" si="24"/>
        <v>-0.3217658001347399</v>
      </c>
      <c r="K22" s="49">
        <f t="shared" si="3"/>
        <v>0.05563739010532665</v>
      </c>
      <c r="L22" s="49">
        <f t="shared" si="4"/>
        <v>0.3613218269219761</v>
      </c>
      <c r="M22" s="49">
        <f t="shared" si="25"/>
        <v>0.0015540640543834218</v>
      </c>
      <c r="N22" s="49">
        <f t="shared" si="20"/>
        <v>0.17388862023454205</v>
      </c>
      <c r="O22" s="49">
        <f t="shared" si="5"/>
        <v>0.03302534570044918</v>
      </c>
      <c r="P22" s="205">
        <f t="shared" si="6"/>
        <v>5.006190046751059</v>
      </c>
      <c r="Q22" s="49">
        <f t="shared" si="7"/>
        <v>0</v>
      </c>
      <c r="R22" s="197">
        <f t="shared" si="8"/>
        <v>0.35182792548904207</v>
      </c>
      <c r="S22" s="53">
        <f t="shared" si="26"/>
        <v>6.390315080354757</v>
      </c>
      <c r="T22" s="49">
        <f t="shared" si="9"/>
        <v>6.755578326074094</v>
      </c>
      <c r="U22" s="49">
        <f t="shared" si="10"/>
        <v>1.634736754280663</v>
      </c>
      <c r="V22" s="54">
        <f t="shared" si="11"/>
        <v>0.6096849196452432</v>
      </c>
      <c r="W22" s="97">
        <f t="shared" si="12"/>
        <v>-14.613596298314196</v>
      </c>
      <c r="X22" s="25">
        <f t="shared" si="27"/>
        <v>-0.18421311604942137</v>
      </c>
      <c r="Y22" s="23">
        <f t="shared" si="13"/>
        <v>6.762816496538772</v>
      </c>
      <c r="Z22" s="23">
        <f t="shared" si="14"/>
        <v>1.7566264497877127</v>
      </c>
      <c r="AA22" s="205">
        <f>ERF(AH22)+ERF(AI22)-1</f>
        <v>0.7822578028961054</v>
      </c>
      <c r="AB22" s="52">
        <f t="shared" si="15"/>
        <v>7</v>
      </c>
      <c r="AC22" s="136">
        <f t="shared" si="21"/>
        <v>10</v>
      </c>
      <c r="AD22" s="137">
        <f t="shared" si="28"/>
        <v>8.9</v>
      </c>
      <c r="AE22" s="199">
        <f t="shared" si="22"/>
        <v>0</v>
      </c>
      <c r="AF22" s="154">
        <f t="shared" si="16"/>
        <v>1.2552495585720385</v>
      </c>
      <c r="AG22" s="177">
        <f>IF(ABS(AF22)&lt;10,SIGN(AF22)*ERF(ABS(AF22)),SIGN(AF22))</f>
        <v>0.9241336214576039</v>
      </c>
      <c r="AH22" s="193">
        <f t="shared" si="17"/>
        <v>1.5905415942507135</v>
      </c>
      <c r="AI22" s="193">
        <f t="shared" si="18"/>
        <v>0.9199575228933637</v>
      </c>
    </row>
    <row r="23" spans="1:35" s="26" customFormat="1" ht="15" customHeight="1">
      <c r="A23" s="262">
        <f t="shared" si="23"/>
        <v>9.5</v>
      </c>
      <c r="B23" s="271">
        <f t="shared" si="29"/>
        <v>-50.839028583753176</v>
      </c>
      <c r="C23" s="128">
        <f t="shared" si="30"/>
        <v>0.383439</v>
      </c>
      <c r="D23" s="143">
        <f t="shared" si="31"/>
        <v>5932.535167615442</v>
      </c>
      <c r="E23" s="143">
        <f t="shared" si="32"/>
        <v>35087.71929824561</v>
      </c>
      <c r="F23" s="105">
        <f t="shared" si="19"/>
        <v>172.55947309813916</v>
      </c>
      <c r="G23" s="105">
        <f t="shared" si="0"/>
        <v>217.01458880892642</v>
      </c>
      <c r="H23" s="50">
        <f t="shared" si="1"/>
        <v>0.7259142940449628</v>
      </c>
      <c r="I23" s="49">
        <f t="shared" si="2"/>
        <v>4.884107470022043</v>
      </c>
      <c r="J23" s="49">
        <f t="shared" si="24"/>
        <v>-0.3304621731113545</v>
      </c>
      <c r="K23" s="49">
        <f t="shared" si="3"/>
        <v>0.05852220250992183</v>
      </c>
      <c r="L23" s="49">
        <f t="shared" si="4"/>
        <v>0.4035536773375081</v>
      </c>
      <c r="M23" s="49">
        <f t="shared" si="25"/>
        <v>0.001548283006428826</v>
      </c>
      <c r="N23" s="49">
        <f t="shared" si="20"/>
        <v>0.17321526168903698</v>
      </c>
      <c r="O23" s="49">
        <f t="shared" si="5"/>
        <v>0.037141447963755375</v>
      </c>
      <c r="P23" s="205">
        <f t="shared" si="6"/>
        <v>5.006190046751059</v>
      </c>
      <c r="Q23" s="49">
        <f t="shared" si="7"/>
        <v>0</v>
      </c>
      <c r="R23" s="197">
        <f t="shared" si="8"/>
        <v>0.35281085647925536</v>
      </c>
      <c r="S23" s="53">
        <f t="shared" si="26"/>
        <v>6.576743007536561</v>
      </c>
      <c r="T23" s="49">
        <f t="shared" si="9"/>
        <v>6.884107470022043</v>
      </c>
      <c r="U23" s="49">
        <f t="shared" si="10"/>
        <v>1.6926355375145183</v>
      </c>
      <c r="V23" s="54">
        <f t="shared" si="11"/>
        <v>0.42325699246343884</v>
      </c>
      <c r="W23" s="97">
        <f t="shared" si="12"/>
        <v>-14.743108373252358</v>
      </c>
      <c r="X23" s="25">
        <f t="shared" si="27"/>
        <v>-0.18883268139543397</v>
      </c>
      <c r="Y23" s="23">
        <f t="shared" si="13"/>
        <v>6.762816496538772</v>
      </c>
      <c r="Z23" s="23">
        <f t="shared" si="14"/>
        <v>1.7566264497877127</v>
      </c>
      <c r="AA23" s="205">
        <f>ERF(AH23)+ERF(AI23)-1</f>
        <v>0.7800590593078993</v>
      </c>
      <c r="AB23" s="52">
        <f t="shared" si="15"/>
        <v>7</v>
      </c>
      <c r="AC23" s="136">
        <f t="shared" si="21"/>
        <v>10</v>
      </c>
      <c r="AD23" s="137">
        <f t="shared" si="28"/>
        <v>8.9</v>
      </c>
      <c r="AE23" s="199">
        <f t="shared" si="22"/>
        <v>0</v>
      </c>
      <c r="AF23" s="154">
        <f t="shared" si="16"/>
        <v>1.2505800870192914</v>
      </c>
      <c r="AG23" s="177">
        <f>IF(ABS(AF23)&lt;10,SIGN(AF23)*ERF(ABS(AF23)),SIGN(AF23))</f>
        <v>0.9230372155484625</v>
      </c>
      <c r="AH23" s="193">
        <f t="shared" si="17"/>
        <v>1.584624851498568</v>
      </c>
      <c r="AI23" s="193">
        <f t="shared" si="18"/>
        <v>0.9165353225400147</v>
      </c>
    </row>
    <row r="24" spans="1:35" s="26" customFormat="1" ht="15" customHeight="1">
      <c r="A24" s="262">
        <f t="shared" si="23"/>
        <v>9.75</v>
      </c>
      <c r="B24" s="271">
        <f t="shared" si="29"/>
        <v>-52.17689775700984</v>
      </c>
      <c r="C24" s="128">
        <f t="shared" si="30"/>
        <v>0.3935295</v>
      </c>
      <c r="D24" s="143">
        <f t="shared" si="31"/>
        <v>5780.41888126633</v>
      </c>
      <c r="E24" s="143">
        <f t="shared" si="32"/>
        <v>34188.03418803419</v>
      </c>
      <c r="F24" s="105">
        <f t="shared" si="19"/>
        <v>173.59674903277238</v>
      </c>
      <c r="G24" s="105">
        <f t="shared" si="0"/>
        <v>217.84028845635362</v>
      </c>
      <c r="H24" s="50">
        <f t="shared" si="1"/>
        <v>0.7374912412726051</v>
      </c>
      <c r="I24" s="49">
        <f t="shared" si="2"/>
        <v>5.012636613969991</v>
      </c>
      <c r="J24" s="49">
        <f t="shared" si="24"/>
        <v>-0.33915854608796914</v>
      </c>
      <c r="K24" s="49">
        <f t="shared" si="3"/>
        <v>0.06146696925300737</v>
      </c>
      <c r="L24" s="49">
        <f t="shared" si="4"/>
        <v>0.4497970218304469</v>
      </c>
      <c r="M24" s="49">
        <f t="shared" si="25"/>
        <v>0.001542414410029212</v>
      </c>
      <c r="N24" s="49">
        <f t="shared" si="20"/>
        <v>0.1725319192761318</v>
      </c>
      <c r="O24" s="49">
        <f t="shared" si="5"/>
        <v>0.04172737233144794</v>
      </c>
      <c r="P24" s="205">
        <f t="shared" si="6"/>
        <v>5.006190046751059</v>
      </c>
      <c r="Q24" s="49">
        <f t="shared" si="7"/>
        <v>0</v>
      </c>
      <c r="R24" s="197">
        <f t="shared" si="8"/>
        <v>0.3537962744650016</v>
      </c>
      <c r="S24" s="53">
        <f t="shared" si="26"/>
        <v>6.767980443145625</v>
      </c>
      <c r="T24" s="49">
        <f t="shared" si="9"/>
        <v>7.012636613969991</v>
      </c>
      <c r="U24" s="49">
        <f t="shared" si="10"/>
        <v>1.7553438291756338</v>
      </c>
      <c r="V24" s="54">
        <f t="shared" si="11"/>
        <v>0.23201955685437525</v>
      </c>
      <c r="W24" s="97">
        <f t="shared" si="12"/>
        <v>-14.872622935186051</v>
      </c>
      <c r="X24" s="25">
        <f t="shared" si="27"/>
        <v>-0.1938567680267731</v>
      </c>
      <c r="Y24" s="23">
        <f t="shared" si="13"/>
        <v>6.762816496538772</v>
      </c>
      <c r="Z24" s="23">
        <f t="shared" si="14"/>
        <v>1.7566264497877127</v>
      </c>
      <c r="AA24" s="205">
        <f>ERF(AH24)+ERF(AI24)-1</f>
        <v>0.7778059273794766</v>
      </c>
      <c r="AB24" s="52">
        <f t="shared" si="15"/>
        <v>7</v>
      </c>
      <c r="AC24" s="136">
        <f t="shared" si="21"/>
        <v>10</v>
      </c>
      <c r="AD24" s="137">
        <f t="shared" si="28"/>
        <v>8.9</v>
      </c>
      <c r="AE24" s="199">
        <f t="shared" si="22"/>
        <v>0</v>
      </c>
      <c r="AF24" s="154">
        <f t="shared" si="16"/>
        <v>1.2458399007835472</v>
      </c>
      <c r="AG24" s="177">
        <f>IF(ABS(AF24)&lt;10,SIGN(AF24)*ERF(ABS(AF24)),SIGN(AF24))</f>
        <v>0.9219110309117107</v>
      </c>
      <c r="AH24" s="193">
        <f t="shared" si="17"/>
        <v>1.5786185053334096</v>
      </c>
      <c r="AI24" s="193">
        <f t="shared" si="18"/>
        <v>0.9130612962336847</v>
      </c>
    </row>
    <row r="25" spans="1:35" s="20" customFormat="1" ht="15" customHeight="1">
      <c r="A25" s="261">
        <f t="shared" si="23"/>
        <v>10</v>
      </c>
      <c r="B25" s="270">
        <f t="shared" si="29"/>
        <v>-53.514766930266504</v>
      </c>
      <c r="C25" s="127">
        <f t="shared" si="30"/>
        <v>0.40362</v>
      </c>
      <c r="D25" s="142">
        <f t="shared" si="31"/>
        <v>5635.908409234671</v>
      </c>
      <c r="E25" s="142">
        <f t="shared" si="32"/>
        <v>33333.33333333333</v>
      </c>
      <c r="F25" s="104">
        <f t="shared" si="19"/>
        <v>174.65456482684863</v>
      </c>
      <c r="G25" s="104">
        <f t="shared" si="0"/>
        <v>218.68419470747278</v>
      </c>
      <c r="H25" s="98">
        <f t="shared" si="1"/>
        <v>0.7494058079324251</v>
      </c>
      <c r="I25" s="95">
        <f t="shared" si="2"/>
        <v>5.141165757917939</v>
      </c>
      <c r="J25" s="95">
        <f t="shared" si="24"/>
        <v>-0.34785491906458366</v>
      </c>
      <c r="K25" s="95">
        <f t="shared" si="3"/>
        <v>0.06447045405776648</v>
      </c>
      <c r="L25" s="95">
        <f t="shared" si="4"/>
        <v>0.5004169145449876</v>
      </c>
      <c r="M25" s="95">
        <f t="shared" si="25"/>
        <v>0.0015364622050050621</v>
      </c>
      <c r="N25" s="95">
        <f t="shared" si="20"/>
        <v>0.17183906102067995</v>
      </c>
      <c r="O25" s="95">
        <f t="shared" si="5"/>
        <v>0.04684629641053392</v>
      </c>
      <c r="P25" s="207">
        <f t="shared" si="6"/>
        <v>5.006190046751059</v>
      </c>
      <c r="Q25" s="95">
        <f t="shared" si="7"/>
        <v>0</v>
      </c>
      <c r="R25" s="196">
        <f t="shared" si="8"/>
        <v>0.3547827057635413</v>
      </c>
      <c r="S25" s="96">
        <f t="shared" si="26"/>
        <v>6.964456543590107</v>
      </c>
      <c r="T25" s="95">
        <f t="shared" si="9"/>
        <v>7.141165757917939</v>
      </c>
      <c r="U25" s="95">
        <f t="shared" si="10"/>
        <v>1.8232907856721683</v>
      </c>
      <c r="V25" s="100">
        <f t="shared" si="11"/>
        <v>0.03554345640989265</v>
      </c>
      <c r="W25" s="101">
        <f t="shared" si="12"/>
        <v>-15.002138510432541</v>
      </c>
      <c r="X25" s="27">
        <f t="shared" si="27"/>
        <v>-0.19934007416294452</v>
      </c>
      <c r="Y25" s="18">
        <f t="shared" si="13"/>
        <v>6.762816496538772</v>
      </c>
      <c r="Z25" s="18">
        <f t="shared" si="14"/>
        <v>1.7566264497877127</v>
      </c>
      <c r="AA25" s="207">
        <f>ERF(AH25)+ERF(AI25)-1</f>
        <v>0.7754988330411847</v>
      </c>
      <c r="AB25" s="99">
        <f t="shared" si="15"/>
        <v>7</v>
      </c>
      <c r="AC25" s="183">
        <f t="shared" si="21"/>
        <v>10</v>
      </c>
      <c r="AD25" s="184">
        <f t="shared" si="28"/>
        <v>8.9</v>
      </c>
      <c r="AE25" s="198">
        <f t="shared" si="22"/>
        <v>0.03554345640989265</v>
      </c>
      <c r="AF25" s="153">
        <f t="shared" si="16"/>
        <v>1.241032182138991</v>
      </c>
      <c r="AG25" s="176">
        <f>IF(ABS(AF25)&lt;10,SIGN(AF25)*ERF(ABS(AF25)),SIGN(AF25))</f>
        <v>0.9207551336678905</v>
      </c>
      <c r="AH25" s="191">
        <f t="shared" si="17"/>
        <v>1.5725265880525778</v>
      </c>
      <c r="AI25" s="191">
        <f t="shared" si="18"/>
        <v>0.9095377762254039</v>
      </c>
    </row>
    <row r="26" spans="1:35" s="26" customFormat="1" ht="15" customHeight="1">
      <c r="A26" s="262">
        <f t="shared" si="23"/>
        <v>10.25</v>
      </c>
      <c r="B26" s="271">
        <f t="shared" si="29"/>
        <v>-54.85263610352317</v>
      </c>
      <c r="C26" s="128">
        <f t="shared" si="30"/>
        <v>0.4137104999999999</v>
      </c>
      <c r="D26" s="143">
        <f t="shared" si="31"/>
        <v>5498.44722852163</v>
      </c>
      <c r="E26" s="143">
        <f t="shared" si="32"/>
        <v>32520.325203252032</v>
      </c>
      <c r="F26" s="105">
        <f t="shared" si="19"/>
        <v>175.73254956391244</v>
      </c>
      <c r="G26" s="105">
        <f t="shared" si="0"/>
        <v>219.54609761103234</v>
      </c>
      <c r="H26" s="50">
        <f t="shared" si="1"/>
        <v>0.7616598805033448</v>
      </c>
      <c r="I26" s="49">
        <f t="shared" si="2"/>
        <v>5.269694901865888</v>
      </c>
      <c r="J26" s="49">
        <f t="shared" si="24"/>
        <v>-0.3565512920411983</v>
      </c>
      <c r="K26" s="49">
        <f t="shared" si="3"/>
        <v>0.06753140135509346</v>
      </c>
      <c r="L26" s="49">
        <f t="shared" si="4"/>
        <v>0.5558255907068681</v>
      </c>
      <c r="M26" s="49">
        <f t="shared" si="25"/>
        <v>0.0015304302998602505</v>
      </c>
      <c r="N26" s="49">
        <f t="shared" si="20"/>
        <v>0.17113715084194278</v>
      </c>
      <c r="O26" s="49">
        <f t="shared" si="5"/>
        <v>0.05257374503322468</v>
      </c>
      <c r="P26" s="205">
        <f t="shared" si="6"/>
        <v>5.006190046751059</v>
      </c>
      <c r="Q26" s="49">
        <f t="shared" si="7"/>
        <v>0</v>
      </c>
      <c r="R26" s="197">
        <f t="shared" si="8"/>
        <v>0.3557693225202456</v>
      </c>
      <c r="S26" s="53">
        <f t="shared" si="26"/>
        <v>7.166660591471514</v>
      </c>
      <c r="T26" s="49">
        <f t="shared" si="9"/>
        <v>7.269694901865888</v>
      </c>
      <c r="U26" s="49">
        <f t="shared" si="10"/>
        <v>1.8969656896056257</v>
      </c>
      <c r="V26" s="54">
        <f t="shared" si="11"/>
        <v>-0.1666605914715138</v>
      </c>
      <c r="W26" s="97">
        <f t="shared" si="12"/>
        <v>-15.131654271137194</v>
      </c>
      <c r="X26" s="25">
        <f t="shared" si="27"/>
        <v>-0.205348455229025</v>
      </c>
      <c r="Y26" s="23">
        <f t="shared" si="13"/>
        <v>6.762816496538772</v>
      </c>
      <c r="Z26" s="23">
        <f t="shared" si="14"/>
        <v>1.7566264497877127</v>
      </c>
      <c r="AA26" s="205">
        <f>ERF(AH26)+ERF(AI26)-1</f>
        <v>0.7731381071308197</v>
      </c>
      <c r="AB26" s="52">
        <f t="shared" si="15"/>
        <v>7</v>
      </c>
      <c r="AC26" s="136">
        <f t="shared" si="21"/>
        <v>10</v>
      </c>
      <c r="AD26" s="137">
        <f t="shared" si="28"/>
        <v>8.9</v>
      </c>
      <c r="AE26" s="199">
        <f t="shared" si="22"/>
        <v>0</v>
      </c>
      <c r="AF26" s="154">
        <f t="shared" si="16"/>
        <v>1.2361600880647363</v>
      </c>
      <c r="AG26" s="177">
        <f>IF(ABS(AF26)&lt;10,SIGN(AF26)*ERF(ABS(AF26)),SIGN(AF26))</f>
        <v>0.9195696024331458</v>
      </c>
      <c r="AH26" s="193">
        <f t="shared" si="17"/>
        <v>1.5663530999017277</v>
      </c>
      <c r="AI26" s="193">
        <f t="shared" si="18"/>
        <v>0.9059670762277449</v>
      </c>
    </row>
    <row r="27" spans="1:35" s="26" customFormat="1" ht="15" customHeight="1">
      <c r="A27" s="262">
        <f t="shared" si="23"/>
        <v>10.5</v>
      </c>
      <c r="B27" s="271">
        <f t="shared" si="29"/>
        <v>-56.190505276779824</v>
      </c>
      <c r="C27" s="128">
        <f t="shared" si="30"/>
        <v>0.42380099999999993</v>
      </c>
      <c r="D27" s="143">
        <f t="shared" si="31"/>
        <v>5367.531818318735</v>
      </c>
      <c r="E27" s="143">
        <f t="shared" si="32"/>
        <v>31746.031746031746</v>
      </c>
      <c r="F27" s="105">
        <f t="shared" si="19"/>
        <v>176.83033438547412</v>
      </c>
      <c r="G27" s="105">
        <f t="shared" si="0"/>
        <v>220.42578605707314</v>
      </c>
      <c r="H27" s="50">
        <f t="shared" si="1"/>
        <v>0.7742552980468667</v>
      </c>
      <c r="I27" s="49">
        <f t="shared" si="2"/>
        <v>5.398224045813837</v>
      </c>
      <c r="J27" s="49">
        <f t="shared" si="24"/>
        <v>-0.36524766501781286</v>
      </c>
      <c r="K27" s="49">
        <f t="shared" si="3"/>
        <v>0.07064853715579404</v>
      </c>
      <c r="L27" s="49">
        <f t="shared" si="4"/>
        <v>0.616491926356534</v>
      </c>
      <c r="M27" s="49">
        <f t="shared" si="25"/>
        <v>0.0015243225668389003</v>
      </c>
      <c r="N27" s="49">
        <f t="shared" si="20"/>
        <v>0.1704266479650983</v>
      </c>
      <c r="O27" s="49">
        <f t="shared" si="5"/>
        <v>0.05900083883015786</v>
      </c>
      <c r="P27" s="205">
        <f t="shared" si="6"/>
        <v>5.006190046751059</v>
      </c>
      <c r="Q27" s="49">
        <f t="shared" si="7"/>
        <v>0</v>
      </c>
      <c r="R27" s="197">
        <f t="shared" si="8"/>
        <v>0.3567546970356641</v>
      </c>
      <c r="S27" s="53">
        <f t="shared" si="26"/>
        <v>7.375153454048157</v>
      </c>
      <c r="T27" s="49">
        <f t="shared" si="9"/>
        <v>7.398224045813837</v>
      </c>
      <c r="U27" s="49">
        <f t="shared" si="10"/>
        <v>1.9769294082343203</v>
      </c>
      <c r="V27" s="54">
        <f t="shared" si="11"/>
        <v>-0.37515345404815736</v>
      </c>
      <c r="W27" s="97">
        <f t="shared" si="12"/>
        <v>-15.26116878960056</v>
      </c>
      <c r="X27" s="25">
        <f t="shared" si="27"/>
        <v>-0.21196203310912276</v>
      </c>
      <c r="Y27" s="23">
        <f t="shared" si="13"/>
        <v>6.762816496538772</v>
      </c>
      <c r="Z27" s="23">
        <f t="shared" si="14"/>
        <v>1.7566264497877127</v>
      </c>
      <c r="AA27" s="205">
        <f>ERF(AH27)+ERF(AI27)-1</f>
        <v>0.7707242086280872</v>
      </c>
      <c r="AB27" s="52">
        <f t="shared" si="15"/>
        <v>7</v>
      </c>
      <c r="AC27" s="136">
        <f t="shared" si="21"/>
        <v>10</v>
      </c>
      <c r="AD27" s="137">
        <f t="shared" si="28"/>
        <v>8.9</v>
      </c>
      <c r="AE27" s="199">
        <f t="shared" si="22"/>
        <v>0</v>
      </c>
      <c r="AF27" s="154">
        <f t="shared" si="16"/>
        <v>1.231226746252151</v>
      </c>
      <c r="AG27" s="177">
        <f>IF(ABS(AF27)&lt;10,SIGN(AF27)*ERF(ABS(AF27)),SIGN(AF27))</f>
        <v>0.9183545286361295</v>
      </c>
      <c r="AH27" s="193">
        <f t="shared" si="17"/>
        <v>1.560102004015664</v>
      </c>
      <c r="AI27" s="193">
        <f t="shared" si="18"/>
        <v>0.9023514884886381</v>
      </c>
    </row>
    <row r="28" spans="1:35" s="26" customFormat="1" ht="15" customHeight="1">
      <c r="A28" s="262">
        <f t="shared" si="23"/>
        <v>10.75</v>
      </c>
      <c r="B28" s="271">
        <f t="shared" si="29"/>
        <v>-57.52837445003649</v>
      </c>
      <c r="C28" s="128">
        <f t="shared" si="30"/>
        <v>0.43389149999999993</v>
      </c>
      <c r="D28" s="143">
        <f t="shared" si="31"/>
        <v>5242.705496962485</v>
      </c>
      <c r="E28" s="143">
        <f t="shared" si="32"/>
        <v>31007.751937984493</v>
      </c>
      <c r="F28" s="105">
        <f t="shared" si="19"/>
        <v>177.9475528429453</v>
      </c>
      <c r="G28" s="105">
        <f t="shared" si="0"/>
        <v>221.3230479701398</v>
      </c>
      <c r="H28" s="50">
        <f t="shared" si="1"/>
        <v>0.7871938488729086</v>
      </c>
      <c r="I28" s="49">
        <f t="shared" si="2"/>
        <v>5.526753189761784</v>
      </c>
      <c r="J28" s="49">
        <f t="shared" si="24"/>
        <v>-0.3739440379944275</v>
      </c>
      <c r="K28" s="49">
        <f t="shared" si="3"/>
        <v>0.07382056993141203</v>
      </c>
      <c r="L28" s="49">
        <f t="shared" si="4"/>
        <v>0.682953351385037</v>
      </c>
      <c r="M28" s="49">
        <f t="shared" si="25"/>
        <v>0.0015181428372761795</v>
      </c>
      <c r="N28" s="49">
        <f t="shared" si="20"/>
        <v>0.1697080063693035</v>
      </c>
      <c r="O28" s="49">
        <f t="shared" si="5"/>
        <v>0.06623861415318788</v>
      </c>
      <c r="P28" s="205">
        <f t="shared" si="6"/>
        <v>5.006190046751059</v>
      </c>
      <c r="Q28" s="49">
        <f t="shared" si="7"/>
        <v>0</v>
      </c>
      <c r="R28" s="197">
        <f t="shared" si="8"/>
        <v>0.3577376471475381</v>
      </c>
      <c r="S28" s="53">
        <f t="shared" si="26"/>
        <v>7.590584657689759</v>
      </c>
      <c r="T28" s="49">
        <f t="shared" si="9"/>
        <v>7.526753189761784</v>
      </c>
      <c r="U28" s="49">
        <f t="shared" si="10"/>
        <v>2.063831467927975</v>
      </c>
      <c r="V28" s="54">
        <f t="shared" si="11"/>
        <v>-0.5905846576897593</v>
      </c>
      <c r="W28" s="97">
        <f t="shared" si="12"/>
        <v>-15.39068088366038</v>
      </c>
      <c r="X28" s="25">
        <f t="shared" si="27"/>
        <v>-0.21927985867611177</v>
      </c>
      <c r="Y28" s="23">
        <f t="shared" si="13"/>
        <v>6.762816496538772</v>
      </c>
      <c r="Z28" s="23">
        <f t="shared" si="14"/>
        <v>1.7566264497877127</v>
      </c>
      <c r="AA28" s="205">
        <f>ERF(AH28)+ERF(AI28)-1</f>
        <v>0.7682575737899611</v>
      </c>
      <c r="AB28" s="52">
        <f t="shared" si="15"/>
        <v>7</v>
      </c>
      <c r="AC28" s="136">
        <f t="shared" si="21"/>
        <v>10</v>
      </c>
      <c r="AD28" s="137">
        <f t="shared" si="28"/>
        <v>8.9</v>
      </c>
      <c r="AE28" s="199">
        <f t="shared" si="22"/>
        <v>0</v>
      </c>
      <c r="AF28" s="154">
        <f t="shared" si="16"/>
        <v>1.2262352513495953</v>
      </c>
      <c r="AG28" s="177">
        <f>IF(ABS(AF28)&lt;10,SIGN(AF28)*ERF(ABS(AF28)),SIGN(AF28))</f>
        <v>0.9171100167968621</v>
      </c>
      <c r="AH28" s="193">
        <f t="shared" si="17"/>
        <v>1.5537772216600048</v>
      </c>
      <c r="AI28" s="193">
        <f t="shared" si="18"/>
        <v>0.8986932810391858</v>
      </c>
    </row>
    <row r="29" spans="1:35" s="26" customFormat="1" ht="15" customHeight="1">
      <c r="A29" s="262">
        <f t="shared" si="23"/>
        <v>11</v>
      </c>
      <c r="B29" s="271">
        <f t="shared" si="29"/>
        <v>-58.86624362329315</v>
      </c>
      <c r="C29" s="128">
        <f t="shared" si="30"/>
        <v>0.44398199999999993</v>
      </c>
      <c r="D29" s="143">
        <f t="shared" si="31"/>
        <v>5123.553099304247</v>
      </c>
      <c r="E29" s="143">
        <f t="shared" si="32"/>
        <v>30303.0303030303</v>
      </c>
      <c r="F29" s="105">
        <f t="shared" si="19"/>
        <v>179.08384122520823</v>
      </c>
      <c r="G29" s="105">
        <f t="shared" si="0"/>
        <v>222.2376704970955</v>
      </c>
      <c r="H29" s="50">
        <f t="shared" si="1"/>
        <v>0.8004772674602306</v>
      </c>
      <c r="I29" s="49">
        <f t="shared" si="2"/>
        <v>5.655282333709733</v>
      </c>
      <c r="J29" s="49">
        <f t="shared" si="24"/>
        <v>-0.382640410971042</v>
      </c>
      <c r="K29" s="49">
        <f t="shared" si="3"/>
        <v>0.07704619150283264</v>
      </c>
      <c r="L29" s="49">
        <f t="shared" si="4"/>
        <v>0.7558310173158801</v>
      </c>
      <c r="M29" s="49">
        <f t="shared" si="25"/>
        <v>0.0015118948972442153</v>
      </c>
      <c r="N29" s="49">
        <f t="shared" si="20"/>
        <v>0.16898167427238456</v>
      </c>
      <c r="O29" s="49">
        <f t="shared" si="5"/>
        <v>0.07442385125396342</v>
      </c>
      <c r="P29" s="205">
        <f t="shared" si="6"/>
        <v>5.006190046751059</v>
      </c>
      <c r="Q29" s="49">
        <f t="shared" si="7"/>
        <v>0</v>
      </c>
      <c r="R29" s="197">
        <f t="shared" si="8"/>
        <v>0.3587170273881891</v>
      </c>
      <c r="S29" s="53">
        <f t="shared" si="26"/>
        <v>7.813713171400381</v>
      </c>
      <c r="T29" s="49">
        <f t="shared" si="9"/>
        <v>7.655282333709733</v>
      </c>
      <c r="U29" s="49">
        <f t="shared" si="10"/>
        <v>2.1584308376906476</v>
      </c>
      <c r="V29" s="54">
        <f t="shared" si="11"/>
        <v>-0.8137131714003809</v>
      </c>
      <c r="W29" s="97">
        <f t="shared" si="12"/>
        <v>-15.520189407848981</v>
      </c>
      <c r="X29" s="25">
        <f t="shared" si="27"/>
        <v>-0.22742514290925042</v>
      </c>
      <c r="Y29" s="23">
        <f t="shared" si="13"/>
        <v>6.762816496538772</v>
      </c>
      <c r="Z29" s="23">
        <f t="shared" si="14"/>
        <v>1.7566264497877127</v>
      </c>
      <c r="AA29" s="205">
        <f>ERF(AH29)+ERF(AI29)-1</f>
        <v>0.7657386539273165</v>
      </c>
      <c r="AB29" s="52">
        <f t="shared" si="15"/>
        <v>7</v>
      </c>
      <c r="AC29" s="136">
        <f t="shared" si="21"/>
        <v>10</v>
      </c>
      <c r="AD29" s="137">
        <f t="shared" si="28"/>
        <v>8.9</v>
      </c>
      <c r="AE29" s="199">
        <f t="shared" si="22"/>
        <v>0</v>
      </c>
      <c r="AF29" s="154">
        <f t="shared" si="16"/>
        <v>1.2211886614455394</v>
      </c>
      <c r="AG29" s="177">
        <f>IF(ABS(AF29)&lt;10,SIGN(AF29)*ERF(ABS(AF29)),SIGN(AF29))</f>
        <v>0.9158361847668229</v>
      </c>
      <c r="AH29" s="193">
        <f t="shared" si="17"/>
        <v>1.547382627774899</v>
      </c>
      <c r="AI29" s="193">
        <f t="shared" si="18"/>
        <v>0.8949946951161799</v>
      </c>
    </row>
    <row r="30" spans="1:35" s="20" customFormat="1" ht="15" customHeight="1">
      <c r="A30" s="261">
        <f t="shared" si="23"/>
        <v>11.25</v>
      </c>
      <c r="B30" s="270">
        <f t="shared" si="29"/>
        <v>-60.204112796549815</v>
      </c>
      <c r="C30" s="127">
        <f t="shared" si="30"/>
        <v>0.45407249999999993</v>
      </c>
      <c r="D30" s="142">
        <f t="shared" si="31"/>
        <v>5009.696363764152</v>
      </c>
      <c r="E30" s="142">
        <f t="shared" si="32"/>
        <v>29629.629629629628</v>
      </c>
      <c r="F30" s="104">
        <f t="shared" si="19"/>
        <v>180.23883886229115</v>
      </c>
      <c r="G30" s="104">
        <f t="shared" si="0"/>
        <v>223.16944018934794</v>
      </c>
      <c r="H30" s="98">
        <f t="shared" si="1"/>
        <v>0.814107231637353</v>
      </c>
      <c r="I30" s="95">
        <f t="shared" si="2"/>
        <v>5.783811477657682</v>
      </c>
      <c r="J30" s="95">
        <f t="shared" si="24"/>
        <v>-0.39133678394765664</v>
      </c>
      <c r="K30" s="95">
        <f t="shared" si="3"/>
        <v>0.08032407793580937</v>
      </c>
      <c r="L30" s="95">
        <f t="shared" si="4"/>
        <v>0.8358493454555536</v>
      </c>
      <c r="M30" s="95">
        <f t="shared" si="25"/>
        <v>0.0015055824834929058</v>
      </c>
      <c r="N30" s="95">
        <f t="shared" si="20"/>
        <v>0.16824809365203575</v>
      </c>
      <c r="O30" s="95">
        <f t="shared" si="5"/>
        <v>0.0837270640582789</v>
      </c>
      <c r="P30" s="207">
        <f t="shared" si="6"/>
        <v>5.006190046751059</v>
      </c>
      <c r="Q30" s="95">
        <f t="shared" si="7"/>
        <v>0</v>
      </c>
      <c r="R30" s="196">
        <f t="shared" si="8"/>
        <v>0.3596917310473573</v>
      </c>
      <c r="S30" s="96">
        <f t="shared" si="26"/>
        <v>8.04543494350826</v>
      </c>
      <c r="T30" s="95">
        <f t="shared" si="9"/>
        <v>7.783811477657682</v>
      </c>
      <c r="U30" s="95">
        <f t="shared" si="10"/>
        <v>2.261623465850578</v>
      </c>
      <c r="V30" s="100">
        <f t="shared" si="11"/>
        <v>-1.0454349435082602</v>
      </c>
      <c r="W30" s="101">
        <f t="shared" si="12"/>
        <v>-15.6496932554561</v>
      </c>
      <c r="X30" s="27">
        <f t="shared" si="27"/>
        <v>-0.23655320811936997</v>
      </c>
      <c r="Y30" s="18">
        <f t="shared" si="13"/>
        <v>6.762816496538772</v>
      </c>
      <c r="Z30" s="18">
        <f t="shared" si="14"/>
        <v>1.7566264497877127</v>
      </c>
      <c r="AA30" s="207">
        <f>ERF(AH30)+ERF(AI30)-1</f>
        <v>0.7631679153519277</v>
      </c>
      <c r="AB30" s="99">
        <f t="shared" si="15"/>
        <v>7</v>
      </c>
      <c r="AC30" s="183">
        <f t="shared" si="21"/>
        <v>10</v>
      </c>
      <c r="AD30" s="184">
        <f t="shared" si="28"/>
        <v>8.9</v>
      </c>
      <c r="AE30" s="198">
        <f t="shared" si="22"/>
        <v>0</v>
      </c>
      <c r="AF30" s="153">
        <f t="shared" si="16"/>
        <v>1.2160899947898727</v>
      </c>
      <c r="AG30" s="176">
        <f>IF(ABS(AF30)&lt;10,SIGN(AF30)*ERF(ABS(AF30)),SIGN(AF30))</f>
        <v>0.91453316392977</v>
      </c>
      <c r="AH30" s="191">
        <f t="shared" si="17"/>
        <v>1.5409220468205567</v>
      </c>
      <c r="AI30" s="191">
        <f t="shared" si="18"/>
        <v>0.8912579427591887</v>
      </c>
    </row>
    <row r="31" spans="1:35" s="26" customFormat="1" ht="15" customHeight="1">
      <c r="A31" s="262">
        <f t="shared" si="23"/>
        <v>11.5</v>
      </c>
      <c r="B31" s="271">
        <f t="shared" si="29"/>
        <v>-61.54198196980648</v>
      </c>
      <c r="C31" s="128">
        <f t="shared" si="30"/>
        <v>0.46416299999999994</v>
      </c>
      <c r="D31" s="143">
        <f t="shared" si="31"/>
        <v>4900.789921073627</v>
      </c>
      <c r="E31" s="143">
        <f t="shared" si="32"/>
        <v>28985.50724637681</v>
      </c>
      <c r="F31" s="105">
        <f t="shared" si="19"/>
        <v>181.41218840570463</v>
      </c>
      <c r="G31" s="105">
        <f t="shared" si="0"/>
        <v>224.11814317932152</v>
      </c>
      <c r="H31" s="50">
        <f t="shared" si="1"/>
        <v>0.8280852151240886</v>
      </c>
      <c r="I31" s="49">
        <f t="shared" si="2"/>
        <v>5.9123406216056305</v>
      </c>
      <c r="J31" s="49">
        <f t="shared" si="24"/>
        <v>-0.40003315692427127</v>
      </c>
      <c r="K31" s="49">
        <f t="shared" si="3"/>
        <v>0.08365289044256063</v>
      </c>
      <c r="L31" s="49">
        <f t="shared" si="4"/>
        <v>0.9238615641982395</v>
      </c>
      <c r="M31" s="49">
        <f t="shared" si="25"/>
        <v>0.0014992092796840618</v>
      </c>
      <c r="N31" s="49">
        <f t="shared" si="20"/>
        <v>0.1675076998032751</v>
      </c>
      <c r="O31" s="49">
        <f t="shared" si="5"/>
        <v>0.09436364993648425</v>
      </c>
      <c r="P31" s="205">
        <f t="shared" si="6"/>
        <v>5.006190046751059</v>
      </c>
      <c r="Q31" s="49">
        <f t="shared" si="7"/>
        <v>0</v>
      </c>
      <c r="R31" s="197">
        <f t="shared" si="8"/>
        <v>0.3606608369714023</v>
      </c>
      <c r="S31" s="53">
        <f t="shared" si="26"/>
        <v>8.28681958763912</v>
      </c>
      <c r="T31" s="49">
        <f t="shared" si="9"/>
        <v>7.9123406216056305</v>
      </c>
      <c r="U31" s="49">
        <f t="shared" si="10"/>
        <v>2.3744789660334904</v>
      </c>
      <c r="V31" s="54">
        <f t="shared" si="11"/>
        <v>-1.2868195876391209</v>
      </c>
      <c r="W31" s="97">
        <f t="shared" si="12"/>
        <v>-15.77919150532809</v>
      </c>
      <c r="X31" s="25">
        <f t="shared" si="27"/>
        <v>-0.2468625909835067</v>
      </c>
      <c r="Y31" s="23">
        <f t="shared" si="13"/>
        <v>6.762816496538772</v>
      </c>
      <c r="Z31" s="23">
        <f t="shared" si="14"/>
        <v>1.7566264497877127</v>
      </c>
      <c r="AA31" s="205">
        <f>ERF(AH31)+ERF(AI31)-1</f>
        <v>0.7605458392958413</v>
      </c>
      <c r="AB31" s="52">
        <f t="shared" si="15"/>
        <v>7</v>
      </c>
      <c r="AC31" s="136">
        <f t="shared" si="21"/>
        <v>10</v>
      </c>
      <c r="AD31" s="137">
        <f t="shared" si="28"/>
        <v>8.9</v>
      </c>
      <c r="AE31" s="199">
        <f t="shared" si="22"/>
        <v>0</v>
      </c>
      <c r="AF31" s="154">
        <f t="shared" si="16"/>
        <v>1.2109422267521417</v>
      </c>
      <c r="AG31" s="177">
        <f>IF(ABS(AF31)&lt;10,SIGN(AF31)*ERF(ABS(AF31)),SIGN(AF31))</f>
        <v>0.9132011131496385</v>
      </c>
      <c r="AH31" s="193">
        <f t="shared" si="17"/>
        <v>1.5343992489229978</v>
      </c>
      <c r="AI31" s="193">
        <f t="shared" si="18"/>
        <v>0.8874852045812858</v>
      </c>
    </row>
    <row r="32" spans="1:35" s="26" customFormat="1" ht="15" customHeight="1">
      <c r="A32" s="262">
        <f t="shared" si="23"/>
        <v>11.75</v>
      </c>
      <c r="B32" s="271">
        <f t="shared" si="29"/>
        <v>-62.87985114306314</v>
      </c>
      <c r="C32" s="128">
        <f t="shared" si="30"/>
        <v>0.47425349999999994</v>
      </c>
      <c r="D32" s="143">
        <f t="shared" si="31"/>
        <v>4796.517795093337</v>
      </c>
      <c r="E32" s="143">
        <f t="shared" si="32"/>
        <v>28368.79432624113</v>
      </c>
      <c r="F32" s="105">
        <f t="shared" si="19"/>
        <v>182.60353608606647</v>
      </c>
      <c r="G32" s="105">
        <f t="shared" si="0"/>
        <v>225.08356535103886</v>
      </c>
      <c r="H32" s="50">
        <f t="shared" si="1"/>
        <v>0.8424130530605753</v>
      </c>
      <c r="I32" s="49">
        <f t="shared" si="2"/>
        <v>6.040869765553579</v>
      </c>
      <c r="J32" s="49">
        <f t="shared" si="24"/>
        <v>-0.40872952990088585</v>
      </c>
      <c r="K32" s="49">
        <f t="shared" si="3"/>
        <v>0.08703127628858078</v>
      </c>
      <c r="L32" s="49">
        <f t="shared" si="4"/>
        <v>1.0208835798944533</v>
      </c>
      <c r="M32" s="49">
        <f t="shared" si="25"/>
        <v>0.0014927789129160834</v>
      </c>
      <c r="N32" s="49">
        <f t="shared" si="20"/>
        <v>0.16676092093172654</v>
      </c>
      <c r="O32" s="49">
        <f t="shared" si="5"/>
        <v>0.10660976256186508</v>
      </c>
      <c r="P32" s="205">
        <f t="shared" si="6"/>
        <v>5.006190046751059</v>
      </c>
      <c r="Q32" s="49">
        <f t="shared" si="7"/>
        <v>0</v>
      </c>
      <c r="R32" s="197">
        <f t="shared" si="8"/>
        <v>0.3616230434730736</v>
      </c>
      <c r="S32" s="53">
        <f t="shared" si="26"/>
        <v>8.539160125475274</v>
      </c>
      <c r="T32" s="49">
        <f t="shared" si="9"/>
        <v>8.040869765553579</v>
      </c>
      <c r="U32" s="49">
        <f t="shared" si="10"/>
        <v>2.498290359921695</v>
      </c>
      <c r="V32" s="54">
        <f t="shared" si="11"/>
        <v>-1.5391601254752736</v>
      </c>
      <c r="W32" s="97">
        <f t="shared" si="12"/>
        <v>-15.908682855777712</v>
      </c>
      <c r="X32" s="25">
        <f t="shared" si="27"/>
        <v>-0.2586109724686372</v>
      </c>
      <c r="Y32" s="23">
        <f t="shared" si="13"/>
        <v>6.762816496538772</v>
      </c>
      <c r="Z32" s="23">
        <f t="shared" si="14"/>
        <v>1.7566264497877127</v>
      </c>
      <c r="AA32" s="205">
        <f>ERF(AH32)+ERF(AI32)-1</f>
        <v>0.7578729218032925</v>
      </c>
      <c r="AB32" s="52">
        <f t="shared" si="15"/>
        <v>7</v>
      </c>
      <c r="AC32" s="136">
        <f t="shared" si="21"/>
        <v>10</v>
      </c>
      <c r="AD32" s="137">
        <f t="shared" si="28"/>
        <v>8.9</v>
      </c>
      <c r="AE32" s="199">
        <f t="shared" si="22"/>
        <v>0</v>
      </c>
      <c r="AF32" s="154">
        <f t="shared" si="16"/>
        <v>1.2057482870144625</v>
      </c>
      <c r="AG32" s="177">
        <f>IF(ABS(AF32)&lt;10,SIGN(AF32)*ERF(ABS(AF32)),SIGN(AF32))</f>
        <v>0.9118401648193654</v>
      </c>
      <c r="AH32" s="193">
        <f t="shared" si="17"/>
        <v>1.5278179463171568</v>
      </c>
      <c r="AI32" s="193">
        <f t="shared" si="18"/>
        <v>0.8836786277117678</v>
      </c>
    </row>
    <row r="33" spans="1:35" s="26" customFormat="1" ht="15" customHeight="1">
      <c r="A33" s="262">
        <f t="shared" si="23"/>
        <v>12</v>
      </c>
      <c r="B33" s="271">
        <f t="shared" si="29"/>
        <v>-64.2177203163198</v>
      </c>
      <c r="C33" s="128">
        <f t="shared" si="30"/>
        <v>0.48434399999999994</v>
      </c>
      <c r="D33" s="143">
        <f t="shared" si="31"/>
        <v>4696.590341028892</v>
      </c>
      <c r="E33" s="143">
        <f t="shared" si="32"/>
        <v>27777.777777777777</v>
      </c>
      <c r="F33" s="105">
        <f t="shared" si="19"/>
        <v>183.8125319487016</v>
      </c>
      <c r="G33" s="105">
        <f t="shared" si="0"/>
        <v>226.0654925046997</v>
      </c>
      <c r="H33" s="50">
        <f t="shared" si="1"/>
        <v>0.857092104900343</v>
      </c>
      <c r="I33" s="49">
        <f t="shared" si="2"/>
        <v>6.169398909501528</v>
      </c>
      <c r="J33" s="49">
        <f t="shared" si="24"/>
        <v>-0.41742590287750037</v>
      </c>
      <c r="K33" s="49">
        <f t="shared" si="3"/>
        <v>0.09045786970381077</v>
      </c>
      <c r="L33" s="49">
        <f t="shared" si="4"/>
        <v>1.1281396726246178</v>
      </c>
      <c r="M33" s="49">
        <f t="shared" si="25"/>
        <v>0.0014862949505352516</v>
      </c>
      <c r="N33" s="49">
        <f t="shared" si="20"/>
        <v>0.1660081777821657</v>
      </c>
      <c r="O33" s="49">
        <f t="shared" si="5"/>
        <v>0.12082542255276196</v>
      </c>
      <c r="P33" s="205">
        <f t="shared" si="6"/>
        <v>5.006190046751059</v>
      </c>
      <c r="Q33" s="49">
        <f t="shared" si="7"/>
        <v>0</v>
      </c>
      <c r="R33" s="197">
        <f t="shared" si="8"/>
        <v>0.36257724521497825</v>
      </c>
      <c r="S33" s="53">
        <f t="shared" si="26"/>
        <v>8.804041532576395</v>
      </c>
      <c r="T33" s="49">
        <f t="shared" si="9"/>
        <v>8.169398909501528</v>
      </c>
      <c r="U33" s="49">
        <f t="shared" si="10"/>
        <v>2.6346426230748676</v>
      </c>
      <c r="V33" s="54">
        <f t="shared" si="11"/>
        <v>-1.8040415325763952</v>
      </c>
      <c r="W33" s="97">
        <f t="shared" si="12"/>
        <v>-16.038166201467565</v>
      </c>
      <c r="X33" s="25">
        <f t="shared" si="27"/>
        <v>-0.2721395005103693</v>
      </c>
      <c r="Y33" s="23">
        <f t="shared" si="13"/>
        <v>6.762816496538772</v>
      </c>
      <c r="Z33" s="23">
        <f t="shared" si="14"/>
        <v>1.7566264497877127</v>
      </c>
      <c r="AA33" s="205">
        <f>ERF(AH33)+ERF(AI33)-1</f>
        <v>0.7551497187626031</v>
      </c>
      <c r="AB33" s="52">
        <f t="shared" si="15"/>
        <v>7</v>
      </c>
      <c r="AC33" s="136">
        <f t="shared" si="21"/>
        <v>10</v>
      </c>
      <c r="AD33" s="137">
        <f t="shared" si="28"/>
        <v>8.9</v>
      </c>
      <c r="AE33" s="199">
        <f t="shared" si="22"/>
        <v>0</v>
      </c>
      <c r="AF33" s="154">
        <f t="shared" si="16"/>
        <v>1.2005110569959316</v>
      </c>
      <c r="AG33" s="177">
        <f>IF(ABS(AF33)&lt;10,SIGN(AF33)*ERF(ABS(AF33)),SIGN(AF33))</f>
        <v>0.9104505045341823</v>
      </c>
      <c r="AH33" s="193">
        <f t="shared" si="17"/>
        <v>1.5211817900833258</v>
      </c>
      <c r="AI33" s="193">
        <f t="shared" si="18"/>
        <v>0.8798403239085374</v>
      </c>
    </row>
    <row r="34" spans="1:35" s="26" customFormat="1" ht="15" customHeight="1">
      <c r="A34" s="262">
        <f t="shared" si="23"/>
        <v>12.25</v>
      </c>
      <c r="B34" s="271">
        <f t="shared" si="29"/>
        <v>-65.55558948957646</v>
      </c>
      <c r="C34" s="128">
        <f t="shared" si="30"/>
        <v>0.49443449999999994</v>
      </c>
      <c r="D34" s="143">
        <f t="shared" si="31"/>
        <v>4600.741558558915</v>
      </c>
      <c r="E34" s="143">
        <f t="shared" si="32"/>
        <v>27210.884353741494</v>
      </c>
      <c r="F34" s="105">
        <f t="shared" si="19"/>
        <v>185.0388300679565</v>
      </c>
      <c r="G34" s="105">
        <f t="shared" si="0"/>
        <v>227.06371051517255</v>
      </c>
      <c r="H34" s="50">
        <f t="shared" si="1"/>
        <v>0.8721237989281603</v>
      </c>
      <c r="I34" s="49">
        <f t="shared" si="2"/>
        <v>6.297928053449476</v>
      </c>
      <c r="J34" s="49">
        <f t="shared" si="24"/>
        <v>-0.426122275854115</v>
      </c>
      <c r="K34" s="49">
        <f t="shared" si="3"/>
        <v>0.09393129279731444</v>
      </c>
      <c r="L34" s="49">
        <f t="shared" si="4"/>
        <v>1.2471253447537691</v>
      </c>
      <c r="M34" s="49">
        <f>$P$5*10^9*($J$5/G34)*10^($B$8/10)</f>
        <v>0.001479760897228658</v>
      </c>
      <c r="N34" s="49">
        <f t="shared" si="20"/>
        <v>0.16524988330166707</v>
      </c>
      <c r="O34" s="49">
        <f t="shared" si="5"/>
        <v>0.13748903822899777</v>
      </c>
      <c r="P34" s="205">
        <f t="shared" si="6"/>
        <v>5.006190046751059</v>
      </c>
      <c r="Q34" s="49">
        <f t="shared" si="7"/>
        <v>0</v>
      </c>
      <c r="R34" s="197">
        <f t="shared" si="8"/>
        <v>0.36352300783394287</v>
      </c>
      <c r="S34" s="53">
        <f t="shared" si="26"/>
        <v>9.083439126496012</v>
      </c>
      <c r="T34" s="49">
        <f t="shared" si="9"/>
        <v>8.297928053449475</v>
      </c>
      <c r="U34" s="49">
        <f t="shared" si="10"/>
        <v>2.7855110730465364</v>
      </c>
      <c r="V34" s="54">
        <f t="shared" si="11"/>
        <v>-2.083439126496012</v>
      </c>
      <c r="W34" s="97">
        <f t="shared" si="12"/>
        <v>-16.167641108034477</v>
      </c>
      <c r="X34" s="25">
        <f t="shared" si="27"/>
        <v>-0.2879084969633876</v>
      </c>
      <c r="Y34" s="23">
        <f t="shared" si="13"/>
        <v>6.762816496538772</v>
      </c>
      <c r="Z34" s="23">
        <f t="shared" si="14"/>
        <v>1.7566264497877127</v>
      </c>
      <c r="AA34" s="205">
        <f>ERF(AH34)+ERF(AI34)-1</f>
        <v>0.7523766682945432</v>
      </c>
      <c r="AB34" s="52">
        <f t="shared" si="15"/>
        <v>7</v>
      </c>
      <c r="AC34" s="136">
        <f t="shared" si="21"/>
        <v>10</v>
      </c>
      <c r="AD34" s="137">
        <f t="shared" si="28"/>
        <v>8.9</v>
      </c>
      <c r="AE34" s="199">
        <f t="shared" si="22"/>
        <v>0</v>
      </c>
      <c r="AF34" s="154">
        <f t="shared" si="16"/>
        <v>1.1952333675045277</v>
      </c>
      <c r="AG34" s="177">
        <f>IF(ABS(AF34)&lt;10,SIGN(AF34)*ERF(ABS(AF34)),SIGN(AF34))</f>
        <v>0.909032319030938</v>
      </c>
      <c r="AH34" s="193">
        <f t="shared" si="17"/>
        <v>1.5144943671718474</v>
      </c>
      <c r="AI34" s="193">
        <f t="shared" si="18"/>
        <v>0.875972367837208</v>
      </c>
    </row>
    <row r="35" spans="1:35" s="78" customFormat="1" ht="15" customHeight="1">
      <c r="A35" s="263">
        <f t="shared" si="23"/>
        <v>12.5</v>
      </c>
      <c r="B35" s="272">
        <f>A35*$B$3</f>
        <v>-66.89345866283313</v>
      </c>
      <c r="C35" s="129">
        <f>A35*$Z$4</f>
        <v>0.5045249999999999</v>
      </c>
      <c r="D35" s="144">
        <f t="shared" si="31"/>
        <v>4508.726727387737</v>
      </c>
      <c r="E35" s="144">
        <f>$E$7/A35</f>
        <v>26666.666666666664</v>
      </c>
      <c r="F35" s="106">
        <f t="shared" si="19"/>
        <v>186.28208874100667</v>
      </c>
      <c r="G35" s="106">
        <f t="shared" si="0"/>
        <v>228.07800548433485</v>
      </c>
      <c r="H35" s="75">
        <f t="shared" si="1"/>
        <v>0.88750949670152</v>
      </c>
      <c r="I35" s="74">
        <f t="shared" si="2"/>
        <v>6.426457197397424</v>
      </c>
      <c r="J35" s="74">
        <f t="shared" si="24"/>
        <v>-0.4348186488307296</v>
      </c>
      <c r="K35" s="74">
        <f t="shared" si="3"/>
        <v>0.0974501564746082</v>
      </c>
      <c r="L35" s="74">
        <f t="shared" si="4"/>
        <v>1.3796956809345404</v>
      </c>
      <c r="M35" s="74">
        <f>$P$5*10^9*($J$5/G35)*10^($B$8/10)</f>
        <v>0.0014731801923928943</v>
      </c>
      <c r="N35" s="74">
        <f t="shared" si="20"/>
        <v>0.1644864423365275</v>
      </c>
      <c r="O35" s="74">
        <f t="shared" si="5"/>
        <v>0.15725050747816718</v>
      </c>
      <c r="P35" s="155">
        <f t="shared" si="6"/>
        <v>5.006190046751059</v>
      </c>
      <c r="Q35" s="74">
        <f t="shared" si="7"/>
        <v>0</v>
      </c>
      <c r="R35" s="195">
        <f t="shared" si="8"/>
        <v>0.36445920165499057</v>
      </c>
      <c r="S35" s="96">
        <f t="shared" si="26"/>
        <v>9.37985852650317</v>
      </c>
      <c r="T35" s="74">
        <f t="shared" si="9"/>
        <v>8.426457197397424</v>
      </c>
      <c r="U35" s="74">
        <f t="shared" si="10"/>
        <v>2.9534013291057466</v>
      </c>
      <c r="V35" s="100">
        <f t="shared" si="11"/>
        <v>-2.3798585265031704</v>
      </c>
      <c r="W35" s="101">
        <f t="shared" si="12"/>
        <v>-16.297106445803472</v>
      </c>
      <c r="X35" s="77"/>
      <c r="Y35" s="74">
        <f t="shared" si="13"/>
        <v>6.762816496538772</v>
      </c>
      <c r="Z35" s="74">
        <f t="shared" si="14"/>
        <v>1.7566264497877127</v>
      </c>
      <c r="AA35" s="155">
        <f>ERF(AH35)+ERF(AI35)-1</f>
        <v>0.7495543521628227</v>
      </c>
      <c r="AB35" s="76">
        <f t="shared" si="15"/>
        <v>7</v>
      </c>
      <c r="AC35" s="186">
        <f t="shared" si="21"/>
        <v>10</v>
      </c>
      <c r="AD35" s="187">
        <f>ROUNDUP(E10,0)-0.1</f>
        <v>8.9</v>
      </c>
      <c r="AE35" s="200">
        <f t="shared" si="22"/>
        <v>0</v>
      </c>
      <c r="AF35" s="155">
        <f t="shared" si="16"/>
        <v>1.1899179966117477</v>
      </c>
      <c r="AG35" s="179">
        <f>IF(ABS(AF35)&lt;10,SIGN(AF35)*ERF(ABS(AF35)),SIGN(AF35))</f>
        <v>0.9075858089903119</v>
      </c>
      <c r="AH35" s="190">
        <f t="shared" si="17"/>
        <v>1.5077591977100442</v>
      </c>
      <c r="AI35" s="190">
        <f t="shared" si="18"/>
        <v>0.872076795513451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5"/>
      <c r="S36" s="13"/>
      <c r="U36" s="13"/>
      <c r="V36" s="13"/>
      <c r="W36" s="14"/>
      <c r="AA36" s="5"/>
      <c r="AB36" s="6"/>
      <c r="AE36" s="201">
        <f>SUM(AE15:AE35)</f>
        <v>0.03554345640989265</v>
      </c>
    </row>
    <row r="37" spans="1:27" s="26" customFormat="1" ht="15" customHeight="1">
      <c r="A37" s="79" t="s">
        <v>60</v>
      </c>
      <c r="B37" s="22"/>
      <c r="C37" s="22"/>
      <c r="D37" s="21"/>
      <c r="E37" s="22"/>
      <c r="F37" s="22"/>
      <c r="G37" s="28"/>
      <c r="W37" s="31"/>
      <c r="X37" s="31"/>
      <c r="AA37" s="158"/>
    </row>
    <row r="38" spans="1:28" s="26" customFormat="1" ht="15" customHeight="1">
      <c r="A38" s="29" t="s">
        <v>108</v>
      </c>
      <c r="B38" s="22"/>
      <c r="C38" s="22"/>
      <c r="D38" s="21"/>
      <c r="E38" s="22"/>
      <c r="F38" s="22"/>
      <c r="G38" s="28"/>
      <c r="K38" s="23"/>
      <c r="L38" s="22"/>
      <c r="M38" s="23"/>
      <c r="N38" s="23"/>
      <c r="O38" s="23"/>
      <c r="P38" s="23"/>
      <c r="Q38" s="23"/>
      <c r="R38" s="59"/>
      <c r="S38" s="23"/>
      <c r="T38" s="30"/>
      <c r="U38" s="23"/>
      <c r="W38" s="31"/>
      <c r="X38" s="31"/>
      <c r="AA38" s="158"/>
      <c r="AB38" s="24"/>
    </row>
    <row r="39" spans="1:28" s="26" customFormat="1" ht="15" customHeight="1">
      <c r="A39" s="23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22"/>
      <c r="M39" s="23"/>
      <c r="N39" s="23"/>
      <c r="O39" s="23"/>
      <c r="P39" s="23"/>
      <c r="Q39" s="23"/>
      <c r="R39" s="59"/>
      <c r="S39" s="23"/>
      <c r="T39" s="30"/>
      <c r="U39" s="23"/>
      <c r="W39" s="31"/>
      <c r="X39" s="31"/>
      <c r="AA39" s="158"/>
      <c r="AB39" s="24"/>
    </row>
    <row r="40" spans="1:28" s="26" customFormat="1" ht="15" customHeight="1">
      <c r="A40" s="29"/>
      <c r="B40" s="164" t="s">
        <v>191</v>
      </c>
      <c r="C40" s="22"/>
      <c r="D40" s="21"/>
      <c r="E40" s="22"/>
      <c r="F40" s="22"/>
      <c r="G40" s="28"/>
      <c r="H40" s="23"/>
      <c r="I40" s="23"/>
      <c r="J40" s="23"/>
      <c r="K40" s="23"/>
      <c r="L40" s="22"/>
      <c r="M40" s="23"/>
      <c r="N40" s="23"/>
      <c r="O40" s="23"/>
      <c r="P40" s="23"/>
      <c r="Q40" s="23"/>
      <c r="R40" s="59"/>
      <c r="S40" s="23"/>
      <c r="T40" s="30"/>
      <c r="U40" s="23"/>
      <c r="W40" s="31"/>
      <c r="X40" s="31"/>
      <c r="AA40" s="158"/>
      <c r="AB40" s="24"/>
    </row>
    <row r="41" spans="2:28" s="26" customFormat="1" ht="15" customHeight="1">
      <c r="B41" s="29"/>
      <c r="C41" s="22"/>
      <c r="D41" s="21"/>
      <c r="E41" s="22"/>
      <c r="F41" s="22"/>
      <c r="G41" s="28"/>
      <c r="H41" s="23"/>
      <c r="I41" s="23"/>
      <c r="J41" s="23"/>
      <c r="K41" s="23"/>
      <c r="L41" s="22"/>
      <c r="M41" s="23"/>
      <c r="N41" s="23"/>
      <c r="O41" s="23"/>
      <c r="P41" s="23"/>
      <c r="Q41" s="23"/>
      <c r="R41" s="59"/>
      <c r="S41" s="23"/>
      <c r="T41" s="30"/>
      <c r="U41" s="23"/>
      <c r="W41" s="31"/>
      <c r="X41" s="31"/>
      <c r="AA41" s="158"/>
      <c r="AB41" s="24"/>
    </row>
    <row r="42" spans="1:28" s="26" customFormat="1" ht="15" customHeight="1">
      <c r="A42" s="24"/>
      <c r="B42" s="29"/>
      <c r="C42" s="22"/>
      <c r="D42" s="21"/>
      <c r="E42" s="22"/>
      <c r="F42" s="22"/>
      <c r="G42" s="28"/>
      <c r="H42" s="23"/>
      <c r="I42" s="23"/>
      <c r="J42" s="23"/>
      <c r="K42" s="23"/>
      <c r="L42" s="22"/>
      <c r="M42" s="23"/>
      <c r="N42" s="23"/>
      <c r="O42" s="23"/>
      <c r="P42" s="23"/>
      <c r="Q42" s="23"/>
      <c r="R42" s="59"/>
      <c r="S42" s="23"/>
      <c r="T42" s="30"/>
      <c r="U42" s="23"/>
      <c r="W42" s="31"/>
      <c r="X42" s="31"/>
      <c r="AA42" s="158"/>
      <c r="AB42" s="24"/>
    </row>
    <row r="43" spans="1:28" s="26" customFormat="1" ht="15" customHeight="1">
      <c r="A43" s="28"/>
      <c r="D43" s="21"/>
      <c r="E43" s="22"/>
      <c r="F43" s="22"/>
      <c r="G43" s="28"/>
      <c r="H43" s="23"/>
      <c r="I43" s="23"/>
      <c r="J43" s="23"/>
      <c r="K43" s="23"/>
      <c r="L43" s="22"/>
      <c r="M43" s="23"/>
      <c r="N43" s="23"/>
      <c r="O43" s="23"/>
      <c r="P43" s="23"/>
      <c r="Q43" s="23"/>
      <c r="R43" s="59"/>
      <c r="S43" s="23"/>
      <c r="T43" s="30"/>
      <c r="U43" s="23"/>
      <c r="W43" s="31"/>
      <c r="X43" s="31"/>
      <c r="AA43" s="158"/>
      <c r="AB43" s="24"/>
    </row>
    <row r="44" spans="1:28" s="26" customFormat="1" ht="15" customHeight="1">
      <c r="A44" s="28"/>
      <c r="B44" s="22"/>
      <c r="D44" s="21"/>
      <c r="E44" s="22"/>
      <c r="F44" s="22"/>
      <c r="G44" s="28"/>
      <c r="H44" s="23"/>
      <c r="I44" s="23"/>
      <c r="J44" s="23"/>
      <c r="K44" s="23"/>
      <c r="L44" s="22"/>
      <c r="M44" s="23"/>
      <c r="N44" s="23"/>
      <c r="O44" s="23"/>
      <c r="P44" s="23"/>
      <c r="Q44" s="23"/>
      <c r="R44" s="59"/>
      <c r="S44" s="23"/>
      <c r="T44" s="30"/>
      <c r="U44" s="23"/>
      <c r="W44" s="31"/>
      <c r="X44" s="31"/>
      <c r="AA44" s="158"/>
      <c r="AB44" s="24"/>
    </row>
    <row r="45" spans="1:28" s="26" customFormat="1" ht="15" customHeight="1">
      <c r="A45" s="28"/>
      <c r="B45" s="22"/>
      <c r="D45" s="21"/>
      <c r="E45" s="22"/>
      <c r="F45" s="22"/>
      <c r="G45" s="28"/>
      <c r="H45" s="23"/>
      <c r="I45" s="23"/>
      <c r="J45" s="23"/>
      <c r="K45" s="23"/>
      <c r="L45" s="22"/>
      <c r="M45" s="23"/>
      <c r="N45" s="23"/>
      <c r="O45" s="23"/>
      <c r="P45" s="23"/>
      <c r="Q45" s="23"/>
      <c r="R45" s="59"/>
      <c r="S45" s="23"/>
      <c r="T45" s="30"/>
      <c r="U45" s="23"/>
      <c r="W45" s="31"/>
      <c r="X45" s="31"/>
      <c r="AA45" s="158"/>
      <c r="AB45" s="24"/>
    </row>
    <row r="46" spans="1:28" ht="15" customHeight="1">
      <c r="A46" s="28"/>
      <c r="B46" s="22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5"/>
      <c r="S46" s="4"/>
      <c r="U46" s="4"/>
      <c r="AB46" s="6"/>
    </row>
    <row r="47" spans="1:28" ht="15" customHeight="1">
      <c r="A47" s="2"/>
      <c r="B47" s="22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5"/>
      <c r="S47" s="4"/>
      <c r="U47" s="4"/>
      <c r="AB47" s="6"/>
    </row>
    <row r="48" spans="1:28" ht="15" customHeight="1">
      <c r="A48" s="2"/>
      <c r="B48" s="22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0"/>
      <c r="S48" s="4"/>
      <c r="U48" s="4"/>
      <c r="AB48" s="6"/>
    </row>
    <row r="49" spans="1:28" ht="15" customHeight="1">
      <c r="A49" s="24"/>
      <c r="B49" s="22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5"/>
      <c r="S49" s="4"/>
      <c r="U49" s="4"/>
      <c r="AB49" s="6"/>
    </row>
    <row r="50" spans="1:16" ht="15" customHeight="1">
      <c r="A50" s="15"/>
      <c r="B50" s="14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4"/>
      <c r="B51" s="14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4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V2:W2"/>
  </mergeCells>
  <printOptions horizontalCentered="1"/>
  <pageMargins left="0.5" right="0.5" top="0.5" bottom="0.6" header="0.3" footer="0.4"/>
  <pageSetup fitToHeight="1" fitToWidth="1" horizontalDpi="600" verticalDpi="600" orientation="landscape" scale="69" r:id="rId2"/>
  <headerFooter alignWithMargins="0">
    <oddHeader xml:space="preserve">&amp;CSpreadsheet by Agilent Technologies&amp;R </oddHeader>
    <oddFooter>&amp;L&amp;F tab &amp;A page &amp;P of &amp;N&amp;RPrinted &amp;T 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showGridLines="0" showOutlineSymbols="0" zoomScale="70" zoomScaleNormal="70" workbookViewId="0" topLeftCell="A1">
      <selection activeCell="T1" sqref="T1"/>
    </sheetView>
  </sheetViews>
  <sheetFormatPr defaultColWidth="9.140625" defaultRowHeight="12.75"/>
  <cols>
    <col min="1" max="1" width="13.28125" style="5" customWidth="1"/>
    <col min="2" max="2" width="7.7109375" style="5" customWidth="1"/>
    <col min="3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6" customWidth="1"/>
    <col min="19" max="19" width="6.57421875" style="5" customWidth="1"/>
    <col min="20" max="20" width="7.28125" style="7" customWidth="1"/>
    <col min="21" max="21" width="7.421875" style="5" customWidth="1"/>
    <col min="22" max="22" width="7.7109375" style="5" customWidth="1"/>
    <col min="23" max="23" width="11.140625" style="10" customWidth="1"/>
    <col min="24" max="24" width="8.8515625" style="10" customWidth="1"/>
    <col min="25" max="25" width="8.140625" style="5" customWidth="1"/>
    <col min="26" max="26" width="7.57421875" style="5" customWidth="1"/>
    <col min="27" max="27" width="10.00390625" style="157" customWidth="1"/>
    <col min="28" max="28" width="6.00390625" style="5" customWidth="1"/>
    <col min="29" max="29" width="6.7109375" style="5" customWidth="1"/>
    <col min="30" max="30" width="7.140625" style="5" customWidth="1"/>
    <col min="31" max="32" width="10.00390625" style="5" customWidth="1"/>
    <col min="33" max="16384" width="11.140625" style="5" customWidth="1"/>
  </cols>
  <sheetData>
    <row r="1" spans="1:32" s="126" customFormat="1" ht="15">
      <c r="A1" s="123" t="s">
        <v>109</v>
      </c>
      <c r="B1" s="110"/>
      <c r="C1" s="110"/>
      <c r="D1" s="110"/>
      <c r="E1" s="114"/>
      <c r="F1" s="114"/>
      <c r="G1" s="114"/>
      <c r="H1" s="114"/>
      <c r="I1" s="114"/>
      <c r="J1" s="114"/>
      <c r="K1" s="114"/>
      <c r="L1" s="124" t="s">
        <v>66</v>
      </c>
      <c r="M1" s="110" t="s">
        <v>132</v>
      </c>
      <c r="N1" s="114"/>
      <c r="O1" s="131" t="s">
        <v>51</v>
      </c>
      <c r="P1" s="277" t="s">
        <v>1</v>
      </c>
      <c r="Q1" s="276" t="str">
        <f>Notes!G1</f>
        <v>1.0.0</v>
      </c>
      <c r="R1" s="217"/>
      <c r="S1" s="222" t="s">
        <v>130</v>
      </c>
      <c r="T1" s="221" t="str">
        <f>Notes!A1</f>
        <v>10GEPBud2_4_1.xls</v>
      </c>
      <c r="U1" s="217"/>
      <c r="V1" s="214"/>
      <c r="W1" s="241">
        <f>Notes!E1</f>
        <v>36879</v>
      </c>
      <c r="AB1" s="217"/>
      <c r="AC1" s="51"/>
      <c r="AD1" s="51"/>
      <c r="AE1" s="51"/>
      <c r="AF1" s="51"/>
    </row>
    <row r="2" spans="1:32" ht="15.75">
      <c r="A2" s="62" t="s">
        <v>2</v>
      </c>
      <c r="B2" s="118" t="s">
        <v>3</v>
      </c>
      <c r="C2" s="73"/>
      <c r="D2" s="65" t="str">
        <f>IF(O1="SMF","PolMD DGDmax","")</f>
        <v>PolMD DGDmax</v>
      </c>
      <c r="E2" s="238">
        <v>10</v>
      </c>
      <c r="F2" s="73" t="str">
        <f>IF(O1="SMF","ps at target "&amp;J2&amp;K2,"")</f>
        <v>ps at target 10km</v>
      </c>
      <c r="G2" s="62"/>
      <c r="H2" s="61"/>
      <c r="I2" s="65" t="s">
        <v>92</v>
      </c>
      <c r="J2" s="130">
        <v>10</v>
      </c>
      <c r="K2" s="61" t="s">
        <v>93</v>
      </c>
      <c r="L2" s="61"/>
      <c r="M2" s="73"/>
      <c r="N2" s="61"/>
      <c r="O2" s="62" t="s">
        <v>98</v>
      </c>
      <c r="P2" s="139">
        <f>1000000/$P$6</f>
        <v>381.3775720164608</v>
      </c>
      <c r="Q2" s="61" t="s">
        <v>87</v>
      </c>
      <c r="R2" s="274"/>
      <c r="S2" s="275" t="s">
        <v>232</v>
      </c>
      <c r="T2" s="278" t="str">
        <f>Notes!F16</f>
        <v>2.4.1</v>
      </c>
      <c r="U2" s="279" t="s">
        <v>229</v>
      </c>
      <c r="V2" s="283">
        <f>Notes!D16</f>
        <v>36881</v>
      </c>
      <c r="W2" s="284"/>
      <c r="X2" s="6"/>
      <c r="Y2" s="243" t="s">
        <v>154</v>
      </c>
      <c r="Z2" s="244">
        <f>10^(B6/10)</f>
        <v>1.5339746133336245</v>
      </c>
      <c r="AA2" s="245" t="s">
        <v>153</v>
      </c>
      <c r="AB2" s="66"/>
      <c r="AC2" s="1"/>
      <c r="AD2" s="1"/>
      <c r="AE2" s="1"/>
      <c r="AF2" s="1"/>
    </row>
    <row r="3" spans="1:32" ht="15" customHeight="1">
      <c r="A3" s="62" t="s">
        <v>214</v>
      </c>
      <c r="B3" s="67">
        <f>0.25*$E$4*$B$4*(1-($E$5/$B$4)^4)</f>
        <v>-5.35147669302665</v>
      </c>
      <c r="C3" s="66" t="s">
        <v>213</v>
      </c>
      <c r="D3" s="65" t="s">
        <v>144</v>
      </c>
      <c r="E3" s="145">
        <v>1000000</v>
      </c>
      <c r="F3" s="61" t="s">
        <v>143</v>
      </c>
      <c r="G3" s="61"/>
      <c r="H3" s="73"/>
      <c r="I3" s="62" t="s">
        <v>95</v>
      </c>
      <c r="J3" s="117">
        <v>7.5</v>
      </c>
      <c r="K3" s="73" t="s">
        <v>93</v>
      </c>
      <c r="L3" s="61"/>
      <c r="M3" s="73"/>
      <c r="N3" s="61"/>
      <c r="O3" s="62" t="s">
        <v>4</v>
      </c>
      <c r="P3" s="49">
        <f>IF($B$4&gt;1000,$E$6/1.5,$E$6/3.5)</f>
        <v>0.3333333333333333</v>
      </c>
      <c r="Q3" s="61"/>
      <c r="R3" s="80"/>
      <c r="S3" s="243" t="s">
        <v>207</v>
      </c>
      <c r="T3" s="244">
        <f>10*LOG10(Z3)</f>
        <v>6.762816496538772</v>
      </c>
      <c r="U3" s="246" t="s">
        <v>155</v>
      </c>
      <c r="V3" s="73"/>
      <c r="W3" s="66"/>
      <c r="X3" s="6"/>
      <c r="Y3" s="243" t="s">
        <v>152</v>
      </c>
      <c r="Z3" s="244">
        <f>(Z2+1)/(Z2-1)</f>
        <v>4.745496415108429</v>
      </c>
      <c r="AA3" s="245" t="s">
        <v>153</v>
      </c>
      <c r="AB3" s="82"/>
      <c r="AC3" s="1"/>
      <c r="AD3" s="1"/>
      <c r="AE3" s="1"/>
      <c r="AF3" s="1"/>
    </row>
    <row r="4" spans="1:32" ht="15" customHeight="1">
      <c r="A4" s="62" t="s">
        <v>48</v>
      </c>
      <c r="B4" s="84">
        <v>1270</v>
      </c>
      <c r="C4" s="73"/>
      <c r="D4" s="65" t="s">
        <v>7</v>
      </c>
      <c r="E4" s="81">
        <v>0.093</v>
      </c>
      <c r="F4" s="61"/>
      <c r="G4" s="61"/>
      <c r="H4" s="73"/>
      <c r="I4" s="62" t="s">
        <v>96</v>
      </c>
      <c r="J4" s="210">
        <v>0.25</v>
      </c>
      <c r="K4" s="61" t="s">
        <v>93</v>
      </c>
      <c r="L4" s="61"/>
      <c r="M4" s="61"/>
      <c r="N4" s="61"/>
      <c r="O4" s="62" t="s">
        <v>5</v>
      </c>
      <c r="P4" s="139">
        <f>B7*1.518</f>
        <v>151.8</v>
      </c>
      <c r="Q4" s="73" t="s">
        <v>87</v>
      </c>
      <c r="R4" s="85"/>
      <c r="S4" s="2" t="s">
        <v>208</v>
      </c>
      <c r="T4" s="4">
        <f>10*LOG10((1+10^(-($J$10/10)))/(1-10^(-($J$10/10))))</f>
        <v>1.7566264497877127</v>
      </c>
      <c r="U4" s="246" t="s">
        <v>155</v>
      </c>
      <c r="V4" s="73"/>
      <c r="W4" s="66"/>
      <c r="X4" s="6"/>
      <c r="Y4" s="248" t="s">
        <v>31</v>
      </c>
      <c r="Z4" s="5">
        <f>0.7*$E$4*$B$5</f>
        <v>0.040361999999999995</v>
      </c>
      <c r="AA4" s="66" t="s">
        <v>213</v>
      </c>
      <c r="AB4" s="83"/>
      <c r="AC4" s="1"/>
      <c r="AD4" s="1"/>
      <c r="AE4" s="1"/>
      <c r="AF4" s="1"/>
    </row>
    <row r="5" spans="1:32" ht="15" customHeight="1">
      <c r="A5" s="62" t="s">
        <v>6</v>
      </c>
      <c r="B5" s="86">
        <v>0.62</v>
      </c>
      <c r="C5" s="73"/>
      <c r="D5" s="65" t="s">
        <v>49</v>
      </c>
      <c r="E5" s="81">
        <v>1324</v>
      </c>
      <c r="F5" s="61"/>
      <c r="G5" s="61"/>
      <c r="H5" s="73"/>
      <c r="I5" s="62" t="s">
        <v>9</v>
      </c>
      <c r="J5" s="87">
        <v>480</v>
      </c>
      <c r="K5" s="61" t="s">
        <v>91</v>
      </c>
      <c r="L5" s="73"/>
      <c r="M5" s="67"/>
      <c r="N5" s="61"/>
      <c r="O5" s="62" t="s">
        <v>8</v>
      </c>
      <c r="P5" s="95">
        <v>0.7</v>
      </c>
      <c r="Q5" s="61"/>
      <c r="R5" s="85"/>
      <c r="S5" s="248" t="s">
        <v>163</v>
      </c>
      <c r="T5" s="249">
        <f>T3-T4</f>
        <v>5.006190046751059</v>
      </c>
      <c r="U5" s="246" t="s">
        <v>155</v>
      </c>
      <c r="V5" s="73"/>
      <c r="W5" s="66"/>
      <c r="X5" s="6"/>
      <c r="AB5" s="83"/>
      <c r="AC5" s="1"/>
      <c r="AD5" s="1"/>
      <c r="AE5" s="1"/>
      <c r="AF5" s="1"/>
    </row>
    <row r="6" spans="1:32" ht="15" customHeight="1">
      <c r="A6" s="62" t="s">
        <v>223</v>
      </c>
      <c r="B6" s="70">
        <f>10*LOG10((2*AE7+K9)/(2*AE7-K9))</f>
        <v>1.8581817227244557</v>
      </c>
      <c r="C6" s="73" t="s">
        <v>54</v>
      </c>
      <c r="D6" s="65" t="s">
        <v>83</v>
      </c>
      <c r="E6" s="81">
        <v>0.5</v>
      </c>
      <c r="F6" s="61" t="str">
        <f>"dB/km at "&amp;IF(B4&lt;1000,850,1300)&amp;" nm"</f>
        <v>dB/km at 1300 nm</v>
      </c>
      <c r="G6" s="61"/>
      <c r="H6" s="73"/>
      <c r="I6" s="62" t="s">
        <v>12</v>
      </c>
      <c r="J6" s="86">
        <v>7.037</v>
      </c>
      <c r="K6" s="61"/>
      <c r="L6" s="61"/>
      <c r="M6" s="67"/>
      <c r="N6" s="61"/>
      <c r="O6" s="65" t="s">
        <v>10</v>
      </c>
      <c r="P6" s="88">
        <f>(P7)</f>
        <v>2622.0734342417977</v>
      </c>
      <c r="Q6" s="66"/>
      <c r="R6" s="83"/>
      <c r="S6" s="62" t="s">
        <v>204</v>
      </c>
      <c r="T6" s="51">
        <f>$E$10-$E$11</f>
        <v>7</v>
      </c>
      <c r="U6" s="233" t="s">
        <v>54</v>
      </c>
      <c r="V6" s="73"/>
      <c r="W6" s="66"/>
      <c r="Y6" s="166" t="s">
        <v>114</v>
      </c>
      <c r="Z6" s="167">
        <f>$Z$8*$P$2/(SQRT(8)*$T$9)</f>
        <v>2.626049287451614</v>
      </c>
      <c r="AA6" s="168" t="s">
        <v>67</v>
      </c>
      <c r="AB6" s="61"/>
      <c r="AC6" s="1"/>
      <c r="AD6" s="1"/>
      <c r="AE6" s="1"/>
      <c r="AF6" s="1"/>
    </row>
    <row r="7" spans="1:32" ht="15" customHeight="1">
      <c r="A7" s="62" t="s">
        <v>11</v>
      </c>
      <c r="B7" s="81">
        <v>100</v>
      </c>
      <c r="C7" s="73" t="s">
        <v>87</v>
      </c>
      <c r="D7" s="65" t="s">
        <v>145</v>
      </c>
      <c r="E7" s="239">
        <f>IF(O1="SMF",1000000*J2/(3*E2),E3)</f>
        <v>333333.3333333333</v>
      </c>
      <c r="F7" s="61" t="s">
        <v>143</v>
      </c>
      <c r="G7" s="67"/>
      <c r="H7" s="67"/>
      <c r="I7" s="65" t="s">
        <v>88</v>
      </c>
      <c r="J7" s="147">
        <f>2.5*10^5/$E$8</f>
        <v>100.46939300411522</v>
      </c>
      <c r="K7" s="67" t="s">
        <v>87</v>
      </c>
      <c r="L7" s="61"/>
      <c r="M7" s="67"/>
      <c r="N7" s="61"/>
      <c r="O7" s="65" t="s">
        <v>13</v>
      </c>
      <c r="P7" s="89">
        <f>1/((1/$E$8)-$J$8*10^-6)</f>
        <v>2622.0734342417977</v>
      </c>
      <c r="Q7" s="66"/>
      <c r="R7" s="83"/>
      <c r="S7" s="91" t="s">
        <v>28</v>
      </c>
      <c r="T7" s="115">
        <f>AE36</f>
        <v>0.7295625693254122</v>
      </c>
      <c r="U7" s="92" t="str">
        <f>"dB at target "&amp;J2&amp;" km"</f>
        <v>dB at target 10 km</v>
      </c>
      <c r="V7" s="73"/>
      <c r="W7" s="119"/>
      <c r="Y7" s="166" t="s">
        <v>115</v>
      </c>
      <c r="Z7" s="169">
        <f>IF(ABS($Z$6)&lt;10,SIGN($Z$6)*ERF(ABS($Z$6)),SIGN($Z$6))</f>
        <v>0.9997958253961436</v>
      </c>
      <c r="AA7" s="168" t="s">
        <v>67</v>
      </c>
      <c r="AB7" s="61"/>
      <c r="AC7" s="1"/>
      <c r="AD7" s="2" t="s">
        <v>166</v>
      </c>
      <c r="AE7" s="253">
        <f>1000*10^(J9/10)</f>
        <v>562.341325190349</v>
      </c>
      <c r="AF7" s="1" t="s">
        <v>165</v>
      </c>
    </row>
    <row r="8" spans="1:32" ht="15" customHeight="1">
      <c r="A8" s="248" t="s">
        <v>224</v>
      </c>
      <c r="B8" s="81">
        <v>-120</v>
      </c>
      <c r="C8" s="102" t="s">
        <v>74</v>
      </c>
      <c r="D8" s="62" t="s">
        <v>84</v>
      </c>
      <c r="E8" s="148">
        <v>2488.32</v>
      </c>
      <c r="F8" s="73" t="s">
        <v>89</v>
      </c>
      <c r="G8" s="67"/>
      <c r="H8" s="61"/>
      <c r="I8" s="65" t="s">
        <v>15</v>
      </c>
      <c r="J8" s="81">
        <v>20.5</v>
      </c>
      <c r="K8" s="61"/>
      <c r="L8" s="61"/>
      <c r="M8" s="61"/>
      <c r="N8" s="61"/>
      <c r="O8" s="62" t="s">
        <v>14</v>
      </c>
      <c r="P8" s="63">
        <f>(10^-6)*$J$7*$P$7</f>
        <v>0.26343812635048924</v>
      </c>
      <c r="Q8" s="66"/>
      <c r="R8" s="83"/>
      <c r="S8" s="65" t="s">
        <v>100</v>
      </c>
      <c r="T8" s="49">
        <f>$P$3*((1/(0.00094*$B$4)^4)+1.05)</f>
        <v>0.5141165757917939</v>
      </c>
      <c r="U8" s="61" t="str">
        <f>"dB/km at "&amp;B4&amp;" nm"</f>
        <v>dB/km at 1270 nm</v>
      </c>
      <c r="V8" s="73"/>
      <c r="W8" s="66"/>
      <c r="Y8" s="166" t="s">
        <v>116</v>
      </c>
      <c r="Z8" s="170">
        <v>2.563</v>
      </c>
      <c r="AA8" s="168" t="s">
        <v>67</v>
      </c>
      <c r="AB8" s="61"/>
      <c r="AC8" s="1"/>
      <c r="AD8" s="1"/>
      <c r="AE8" s="1"/>
      <c r="AF8" s="1"/>
    </row>
    <row r="9" spans="1:32" ht="15" customHeight="1">
      <c r="A9" s="62" t="s">
        <v>225</v>
      </c>
      <c r="B9" s="247">
        <f>B8-2*T3</f>
        <v>-133.52563299307755</v>
      </c>
      <c r="C9" s="102" t="s">
        <v>74</v>
      </c>
      <c r="D9" s="65" t="s">
        <v>85</v>
      </c>
      <c r="E9" s="145">
        <v>2500</v>
      </c>
      <c r="F9" s="73" t="s">
        <v>90</v>
      </c>
      <c r="G9" s="73"/>
      <c r="H9" s="61"/>
      <c r="I9" s="258" t="s">
        <v>233</v>
      </c>
      <c r="J9" s="122">
        <v>-2.5</v>
      </c>
      <c r="K9" s="250">
        <v>237</v>
      </c>
      <c r="L9" s="92" t="s">
        <v>164</v>
      </c>
      <c r="M9" s="67"/>
      <c r="N9" s="61"/>
      <c r="O9" s="62" t="s">
        <v>16</v>
      </c>
      <c r="P9" s="90">
        <f>(P8)</f>
        <v>0.26343812635048924</v>
      </c>
      <c r="Q9" s="66"/>
      <c r="R9" s="83"/>
      <c r="S9" s="91" t="s">
        <v>64</v>
      </c>
      <c r="T9" s="138">
        <f>T10*1000/$E$9</f>
        <v>131.6</v>
      </c>
      <c r="U9" s="92" t="s">
        <v>87</v>
      </c>
      <c r="V9" s="32"/>
      <c r="W9" s="41"/>
      <c r="Y9" s="171" t="s">
        <v>86</v>
      </c>
      <c r="Z9" s="193">
        <f>ERF(MAX(MIN($Z$8*$P$2*($P$9+1)/(SQRT(8)*$T$9),10),-10))+ERF(MAX(MIN($Z$8*$P$2*(1-$P$9)/(SQRT(8)*$T$9),10),-10))-1</f>
        <v>0.9937675912648061</v>
      </c>
      <c r="AA9" s="172" t="s">
        <v>67</v>
      </c>
      <c r="AB9" s="61"/>
      <c r="AC9" s="1"/>
      <c r="AD9" s="1"/>
      <c r="AE9" s="1"/>
      <c r="AF9" s="1"/>
    </row>
    <row r="10" spans="1:32" ht="15" customHeight="1">
      <c r="A10" s="273" t="s">
        <v>226</v>
      </c>
      <c r="B10" s="81">
        <v>0.8</v>
      </c>
      <c r="C10" s="73"/>
      <c r="D10" s="65" t="s">
        <v>58</v>
      </c>
      <c r="E10" s="81">
        <v>9</v>
      </c>
      <c r="F10" s="73"/>
      <c r="G10" s="62"/>
      <c r="H10" s="61"/>
      <c r="I10" s="62" t="s">
        <v>21</v>
      </c>
      <c r="J10" s="116">
        <v>7</v>
      </c>
      <c r="K10" s="61"/>
      <c r="L10" s="61"/>
      <c r="M10" s="67"/>
      <c r="N10" s="61"/>
      <c r="O10" s="62" t="s">
        <v>18</v>
      </c>
      <c r="P10" s="49">
        <f>S35-$T$6</f>
        <v>1.1170293734519259</v>
      </c>
      <c r="Q10" s="67" t="s">
        <v>19</v>
      </c>
      <c r="R10" s="83"/>
      <c r="S10" s="202" t="s">
        <v>141</v>
      </c>
      <c r="T10" s="234">
        <v>329</v>
      </c>
      <c r="U10" s="235" t="s">
        <v>91</v>
      </c>
      <c r="V10" s="73"/>
      <c r="W10" s="103" t="s">
        <v>20</v>
      </c>
      <c r="X10" s="66"/>
      <c r="Y10" s="12" t="s">
        <v>29</v>
      </c>
      <c r="Z10" s="12" t="s">
        <v>24</v>
      </c>
      <c r="AA10" s="150"/>
      <c r="AB10" s="61"/>
      <c r="AC10" s="1"/>
      <c r="AD10" s="1"/>
      <c r="AE10" s="1"/>
      <c r="AF10" s="1"/>
    </row>
    <row r="11" spans="1:32" ht="15" customHeight="1">
      <c r="A11" s="34" t="s">
        <v>17</v>
      </c>
      <c r="B11" s="240">
        <v>0</v>
      </c>
      <c r="C11" s="32"/>
      <c r="D11" s="45" t="s">
        <v>59</v>
      </c>
      <c r="E11" s="240">
        <v>2</v>
      </c>
      <c r="F11" s="32"/>
      <c r="G11" s="33"/>
      <c r="H11" s="33"/>
      <c r="I11" s="34" t="s">
        <v>65</v>
      </c>
      <c r="J11" s="35">
        <v>0.064</v>
      </c>
      <c r="K11" s="36" t="s">
        <v>57</v>
      </c>
      <c r="L11" s="37"/>
      <c r="M11" s="37"/>
      <c r="N11" s="33"/>
      <c r="O11" s="38" t="s">
        <v>53</v>
      </c>
      <c r="P11" s="39">
        <f>10*LOG10(1/SQRT(1-($J$6*J11)^2))</f>
        <v>0.4922489052842296</v>
      </c>
      <c r="Q11" s="36" t="s">
        <v>54</v>
      </c>
      <c r="R11" s="57"/>
      <c r="S11" s="38" t="s">
        <v>52</v>
      </c>
      <c r="T11" s="40">
        <f>10*LOG10(1/SQRT(1-($J$6*$J$11/$Z$9)^2))</f>
        <v>0.49921189992798776</v>
      </c>
      <c r="U11" s="236" t="s">
        <v>54</v>
      </c>
      <c r="V11" s="73"/>
      <c r="W11" s="93" t="s">
        <v>22</v>
      </c>
      <c r="X11" s="6" t="s">
        <v>23</v>
      </c>
      <c r="Y11" s="10" t="s">
        <v>77</v>
      </c>
      <c r="Z11" s="6" t="s">
        <v>30</v>
      </c>
      <c r="AA11" s="151" t="s">
        <v>68</v>
      </c>
      <c r="AB11" s="61"/>
      <c r="AC11" s="1"/>
      <c r="AD11" s="1"/>
      <c r="AE11" s="1"/>
      <c r="AF11" s="1"/>
    </row>
    <row r="12" spans="1:35" ht="15" customHeight="1">
      <c r="A12" s="242" t="s">
        <v>76</v>
      </c>
      <c r="B12" s="66" t="s">
        <v>215</v>
      </c>
      <c r="C12" s="66" t="s">
        <v>216</v>
      </c>
      <c r="D12" s="72" t="s">
        <v>70</v>
      </c>
      <c r="E12" s="72" t="s">
        <v>146</v>
      </c>
      <c r="F12" s="73" t="s">
        <v>71</v>
      </c>
      <c r="G12" s="73" t="s">
        <v>72</v>
      </c>
      <c r="H12" s="64" t="s">
        <v>32</v>
      </c>
      <c r="I12" s="65" t="s">
        <v>33</v>
      </c>
      <c r="J12" s="66" t="s">
        <v>34</v>
      </c>
      <c r="K12" s="67" t="s">
        <v>35</v>
      </c>
      <c r="L12" s="65" t="s">
        <v>36</v>
      </c>
      <c r="M12" s="65" t="s">
        <v>37</v>
      </c>
      <c r="N12" s="65" t="s">
        <v>38</v>
      </c>
      <c r="O12" s="68" t="s">
        <v>69</v>
      </c>
      <c r="P12" s="256" t="s">
        <v>175</v>
      </c>
      <c r="Q12" s="65" t="s">
        <v>39</v>
      </c>
      <c r="R12" s="69" t="s">
        <v>40</v>
      </c>
      <c r="S12" s="70" t="s">
        <v>42</v>
      </c>
      <c r="T12" s="68" t="s">
        <v>43</v>
      </c>
      <c r="U12" s="67" t="s">
        <v>44</v>
      </c>
      <c r="V12" s="71" t="s">
        <v>28</v>
      </c>
      <c r="W12" s="230" t="s">
        <v>27</v>
      </c>
      <c r="X12" s="6" t="s">
        <v>28</v>
      </c>
      <c r="Y12" s="5" t="s">
        <v>157</v>
      </c>
      <c r="Z12" s="5" t="s">
        <v>158</v>
      </c>
      <c r="AA12" s="151" t="s">
        <v>56</v>
      </c>
      <c r="AB12" s="66" t="s">
        <v>41</v>
      </c>
      <c r="AC12" s="156" t="s">
        <v>123</v>
      </c>
      <c r="AD12" s="1"/>
      <c r="AE12" s="146" t="s">
        <v>101</v>
      </c>
      <c r="AF12" s="173" t="s">
        <v>117</v>
      </c>
      <c r="AG12" s="180" t="s">
        <v>118</v>
      </c>
      <c r="AH12" s="157" t="s">
        <v>119</v>
      </c>
      <c r="AI12" s="157" t="s">
        <v>120</v>
      </c>
    </row>
    <row r="13" spans="1:35" s="33" customFormat="1" ht="15" customHeight="1">
      <c r="A13" s="120" t="s">
        <v>75</v>
      </c>
      <c r="B13" s="42" t="s">
        <v>217</v>
      </c>
      <c r="C13" s="42" t="s">
        <v>217</v>
      </c>
      <c r="D13" s="43" t="s">
        <v>73</v>
      </c>
      <c r="E13" s="43" t="s">
        <v>73</v>
      </c>
      <c r="F13" s="32" t="s">
        <v>97</v>
      </c>
      <c r="G13" s="32" t="s">
        <v>97</v>
      </c>
      <c r="H13" s="44" t="s">
        <v>25</v>
      </c>
      <c r="I13" s="45" t="s">
        <v>25</v>
      </c>
      <c r="J13" s="32"/>
      <c r="K13" s="46"/>
      <c r="L13" s="45" t="s">
        <v>25</v>
      </c>
      <c r="M13" s="45"/>
      <c r="N13" s="45" t="s">
        <v>25</v>
      </c>
      <c r="O13" s="45" t="s">
        <v>25</v>
      </c>
      <c r="P13" s="257" t="s">
        <v>25</v>
      </c>
      <c r="Q13" s="45" t="s">
        <v>25</v>
      </c>
      <c r="R13" s="58" t="s">
        <v>25</v>
      </c>
      <c r="S13" s="46" t="s">
        <v>25</v>
      </c>
      <c r="T13" s="47" t="s">
        <v>25</v>
      </c>
      <c r="U13" s="47" t="s">
        <v>26</v>
      </c>
      <c r="V13" s="48" t="s">
        <v>25</v>
      </c>
      <c r="W13" s="94" t="s">
        <v>45</v>
      </c>
      <c r="X13" s="42" t="s">
        <v>46</v>
      </c>
      <c r="Y13" s="42" t="s">
        <v>25</v>
      </c>
      <c r="Z13" s="42" t="s">
        <v>25</v>
      </c>
      <c r="AA13" s="152" t="s">
        <v>55</v>
      </c>
      <c r="AB13" s="42" t="s">
        <v>25</v>
      </c>
      <c r="AC13" s="132" t="s">
        <v>122</v>
      </c>
      <c r="AD13" s="133" t="s">
        <v>94</v>
      </c>
      <c r="AE13" s="133" t="s">
        <v>121</v>
      </c>
      <c r="AF13" s="174" t="s">
        <v>55</v>
      </c>
      <c r="AG13" s="181" t="s">
        <v>55</v>
      </c>
      <c r="AH13" s="181" t="s">
        <v>55</v>
      </c>
      <c r="AI13" s="181" t="s">
        <v>55</v>
      </c>
    </row>
    <row r="14" spans="1:35" s="114" customFormat="1" ht="15" customHeight="1">
      <c r="A14" s="121">
        <v>0.002</v>
      </c>
      <c r="B14" s="107">
        <f>A14*$B$3</f>
        <v>-0.0107029533860533</v>
      </c>
      <c r="C14" s="125">
        <f>A14*$Z$4</f>
        <v>8.0724E-05</v>
      </c>
      <c r="D14" s="108">
        <f>(0.187/$B$5)*10^6/(SQRT(B14^2+C14^2))</f>
        <v>28179542.046173353</v>
      </c>
      <c r="E14" s="108">
        <f aca="true" t="shared" si="0" ref="E14:E35">$E$7/A14</f>
        <v>166666666.66666666</v>
      </c>
      <c r="F14" s="140">
        <f aca="true" t="shared" si="1" ref="F14:F35">SQRT((1000*$J$5/D14)^2+(1000*$J$5/E14)^2+$P$4^2)</f>
        <v>151.80000098300093</v>
      </c>
      <c r="G14" s="140">
        <f aca="true" t="shared" si="2" ref="G14:G35">SQRT(F14^2+$T$9^2)</f>
        <v>200.9024646400314</v>
      </c>
      <c r="H14" s="109">
        <f aca="true" t="shared" si="3" ref="H14:H35">-10*LOG10(2*AG14-1)</f>
        <v>0.1321638037229356</v>
      </c>
      <c r="I14" s="107">
        <f aca="true" t="shared" si="4" ref="I14:I35">A14*$P$3*((1/(0.00094*$B$4)^4)+1.05)</f>
        <v>0.0010282331515835878</v>
      </c>
      <c r="J14" s="110">
        <f>(10^-6)*3.14*$P$6*B14*$B$5</f>
        <v>-5.4634858420749576E-05</v>
      </c>
      <c r="K14" s="107">
        <f aca="true" t="shared" si="5" ref="K14:K35">($B$10/SQRT(2))*(1-EXP(-1*J14^2))</f>
        <v>1.6885527317028502E-09</v>
      </c>
      <c r="L14" s="107">
        <f aca="true" t="shared" si="6" ref="L14:L35">10*LOG10(1/SQRT(1-($J$6*K14)^2))</f>
        <v>0</v>
      </c>
      <c r="M14" s="107"/>
      <c r="N14" s="107"/>
      <c r="O14" s="107">
        <f aca="true" t="shared" si="7" ref="O14:O35">10*LOG10(1/SQRT(1-($J$6*$J$6*((($J$11/AA14)^2)+M14+(K14*K14)))))-$T$11-L14-N14</f>
        <v>0.0887268345285015</v>
      </c>
      <c r="P14" s="175">
        <f aca="true" t="shared" si="8" ref="P14:P35">Y14-Z14</f>
        <v>5.006190046751059</v>
      </c>
      <c r="Q14" s="107">
        <f aca="true" t="shared" si="9" ref="Q14:Q35">$B$11</f>
        <v>0</v>
      </c>
      <c r="R14" s="203">
        <f aca="true" t="shared" si="10" ref="R14:R35">-10*LOG10(AA14)-H14</f>
        <v>0.20770914534276033</v>
      </c>
      <c r="S14" s="255">
        <f aca="true" t="shared" si="11" ref="S14:S35">H14+I14+L14+N14+O14+Q14+R14</f>
        <v>0.429628016745781</v>
      </c>
      <c r="T14" s="107">
        <f aca="true" t="shared" si="12" ref="T14:T35">$E$11+I14</f>
        <v>2.0010282331515836</v>
      </c>
      <c r="U14" s="107">
        <f aca="true" t="shared" si="13" ref="U14:U35">S14-I14</f>
        <v>0.4285997835941974</v>
      </c>
      <c r="V14" s="112">
        <f aca="true" t="shared" si="14" ref="V14:V35">$T$6-S14</f>
        <v>6.570371983254219</v>
      </c>
      <c r="W14" s="113">
        <f aca="true" t="shared" si="15" ref="W14:W35">$J$9-T14-R14-$T$5</f>
        <v>-9.714927425245403</v>
      </c>
      <c r="X14" s="111"/>
      <c r="Y14" s="107">
        <f aca="true" t="shared" si="16" ref="Y14:Y35">10*LOG10((1+10^(-($B$6/10)))/(1-10^(-($B$6/10))))</f>
        <v>6.762816496538772</v>
      </c>
      <c r="Z14" s="107">
        <f aca="true" t="shared" si="17" ref="Z14:Z35">10*LOG10((1+10^(-($J$10/10)))/(1-10^(-($J$10/10))))</f>
        <v>1.7566264497877127</v>
      </c>
      <c r="AA14" s="175">
        <f>ERF(AH14)+ERF(AI14)-1</f>
        <v>0.9247252259709626</v>
      </c>
      <c r="AB14" s="111">
        <f aca="true" t="shared" si="18" ref="AB14:AB35">$E$10-$E$11</f>
        <v>7</v>
      </c>
      <c r="AC14" s="134"/>
      <c r="AD14" s="135"/>
      <c r="AE14" s="110"/>
      <c r="AF14" s="178">
        <f aca="true" t="shared" si="19" ref="AF14:AF35">$Z$8*$P$2/(SQRT(8)*G14)</f>
        <v>1.7201784301045913</v>
      </c>
      <c r="AG14" s="182">
        <f>IF(ABS(AF14)&lt;10,SIGN(AF14)*ERF(ABS(AF14)),SIGN(AF14))</f>
        <v>0.9850132732038447</v>
      </c>
      <c r="AH14" s="188">
        <f aca="true" t="shared" si="20" ref="AH14:AH35">MAX(MIN($Z$8*$P$2*($P$9+1)/(SQRT(8)*G14),10),-10)</f>
        <v>2.1733390127198713</v>
      </c>
      <c r="AI14" s="189">
        <f aca="true" t="shared" si="21" ref="AI14:AI35">MAX(MIN($Z$8*$P$2*(1-$P$9)/(SQRT(8)*G14),10),-10)</f>
        <v>1.267017847489312</v>
      </c>
    </row>
    <row r="15" spans="1:35" s="20" customFormat="1" ht="15" customHeight="1">
      <c r="A15" s="261">
        <f>$J$3</f>
        <v>7.5</v>
      </c>
      <c r="B15" s="270">
        <f>A15*$B$3</f>
        <v>-40.136075197699874</v>
      </c>
      <c r="C15" s="127">
        <f>A15*$Z$4</f>
        <v>0.30271499999999996</v>
      </c>
      <c r="D15" s="142">
        <f>(0.187/$B$5)*10^6/(SQRT(B15^2+C15^2))</f>
        <v>7514.544545646229</v>
      </c>
      <c r="E15" s="142">
        <f t="shared" si="0"/>
        <v>44444.444444444445</v>
      </c>
      <c r="F15" s="104">
        <f t="shared" si="1"/>
        <v>165.04556816484478</v>
      </c>
      <c r="G15" s="165">
        <f t="shared" si="2"/>
        <v>211.0890797053614</v>
      </c>
      <c r="H15" s="98">
        <f t="shared" si="3"/>
        <v>0.182686330991579</v>
      </c>
      <c r="I15" s="95">
        <f t="shared" si="4"/>
        <v>3.8558743184384547</v>
      </c>
      <c r="J15" s="95">
        <f>(10^-6)*3.14*$P$6*B15*$B$5</f>
        <v>-0.20488071907781089</v>
      </c>
      <c r="K15" s="95">
        <f t="shared" si="5"/>
        <v>0.02325380660315349</v>
      </c>
      <c r="L15" s="95">
        <f t="shared" si="6"/>
        <v>0.05893835836598822</v>
      </c>
      <c r="M15" s="95">
        <f aca="true" t="shared" si="22" ref="M15:M35">$P$5*10^9*($J$5/G15)*10^($B$8/10)</f>
        <v>0.0015917450607534484</v>
      </c>
      <c r="N15" s="95">
        <f aca="true" t="shared" si="23" ref="N15:N35">10*LOG10(1/SQRT(1-($J$6^2)*M15))</f>
        <v>0.1782827104570467</v>
      </c>
      <c r="O15" s="95">
        <f t="shared" si="7"/>
        <v>0.20362054268718438</v>
      </c>
      <c r="P15" s="207">
        <f t="shared" si="8"/>
        <v>5.006190046751059</v>
      </c>
      <c r="Q15" s="95">
        <f t="shared" si="9"/>
        <v>0</v>
      </c>
      <c r="R15" s="194">
        <f t="shared" si="10"/>
        <v>0.23439108177461238</v>
      </c>
      <c r="S15" s="96">
        <f t="shared" si="11"/>
        <v>4.713793342714864</v>
      </c>
      <c r="T15" s="95">
        <f t="shared" si="12"/>
        <v>5.855874318438454</v>
      </c>
      <c r="U15" s="95">
        <f t="shared" si="13"/>
        <v>0.8579190242764096</v>
      </c>
      <c r="V15" s="100">
        <f t="shared" si="14"/>
        <v>2.2862066572851356</v>
      </c>
      <c r="W15" s="254">
        <f t="shared" si="15"/>
        <v>-13.596455446964125</v>
      </c>
      <c r="X15" s="19"/>
      <c r="Y15" s="18">
        <f t="shared" si="16"/>
        <v>6.762816496538772</v>
      </c>
      <c r="Z15" s="18">
        <f t="shared" si="17"/>
        <v>1.7566264497877127</v>
      </c>
      <c r="AA15" s="206">
        <f>ERF(AH15)+ERF(AI15)-1</f>
        <v>0.9084316541353297</v>
      </c>
      <c r="AB15" s="99">
        <f t="shared" si="18"/>
        <v>7</v>
      </c>
      <c r="AC15" s="183">
        <f aca="true" t="shared" si="24" ref="AC15:AC35">$J$2</f>
        <v>10</v>
      </c>
      <c r="AD15" s="185">
        <v>0</v>
      </c>
      <c r="AE15" s="198">
        <f aca="true" t="shared" si="25" ref="AE15:AE35">IF(A15=$J$2,V15,0)</f>
        <v>0</v>
      </c>
      <c r="AF15" s="153">
        <f t="shared" si="19"/>
        <v>1.6371670515168524</v>
      </c>
      <c r="AG15" s="176">
        <f>IF(ABS(AF15)&lt;10,SIGN(AF15)*ERF(ABS(AF15)),SIGN(AF15))</f>
        <v>0.9794036886033197</v>
      </c>
      <c r="AH15" s="191">
        <f t="shared" si="20"/>
        <v>2.068459272091207</v>
      </c>
      <c r="AI15" s="192">
        <f t="shared" si="21"/>
        <v>1.2058748309424978</v>
      </c>
    </row>
    <row r="16" spans="1:35" s="26" customFormat="1" ht="15" customHeight="1">
      <c r="A16" s="262">
        <f aca="true" t="shared" si="26" ref="A16:A35">A15+$J$4</f>
        <v>7.75</v>
      </c>
      <c r="B16" s="271">
        <f>A16*$B$3</f>
        <v>-41.47394437095654</v>
      </c>
      <c r="C16" s="128">
        <f>A16*$Z$4</f>
        <v>0.31280549999999996</v>
      </c>
      <c r="D16" s="143">
        <f>(0.187/$B$5)*10^6/(SQRT(B16^2+C16^2))</f>
        <v>7272.139882883447</v>
      </c>
      <c r="E16" s="143">
        <f t="shared" si="0"/>
        <v>43010.75268817204</v>
      </c>
      <c r="F16" s="105">
        <f t="shared" si="1"/>
        <v>165.9050611631478</v>
      </c>
      <c r="G16" s="105">
        <f t="shared" si="2"/>
        <v>211.7617749253812</v>
      </c>
      <c r="H16" s="50">
        <f t="shared" si="3"/>
        <v>0.18636286343978226</v>
      </c>
      <c r="I16" s="49">
        <f t="shared" si="4"/>
        <v>3.984403462386403</v>
      </c>
      <c r="J16" s="49">
        <f aca="true" t="shared" si="27" ref="J16:J35">(10^-6)*3.14*$P$6*B16*$B$5</f>
        <v>-0.21171007638040462</v>
      </c>
      <c r="K16" s="49">
        <f t="shared" si="5"/>
        <v>0.024794857043565707</v>
      </c>
      <c r="L16" s="49">
        <f t="shared" si="6"/>
        <v>0.06713497570749186</v>
      </c>
      <c r="M16" s="49">
        <f t="shared" si="22"/>
        <v>0.0015866886274371133</v>
      </c>
      <c r="N16" s="49">
        <f t="shared" si="23"/>
        <v>0.17769254847851262</v>
      </c>
      <c r="O16" s="49">
        <f t="shared" si="7"/>
        <v>0.2095233884777022</v>
      </c>
      <c r="P16" s="205">
        <f t="shared" si="8"/>
        <v>5.006190046751059</v>
      </c>
      <c r="Q16" s="49">
        <f t="shared" si="9"/>
        <v>0</v>
      </c>
      <c r="R16" s="197">
        <f t="shared" si="10"/>
        <v>0.2360655411323589</v>
      </c>
      <c r="S16" s="53">
        <f t="shared" si="11"/>
        <v>4.861182779622251</v>
      </c>
      <c r="T16" s="49">
        <f t="shared" si="12"/>
        <v>5.984403462386403</v>
      </c>
      <c r="U16" s="49">
        <f t="shared" si="13"/>
        <v>0.8767793172358478</v>
      </c>
      <c r="V16" s="54">
        <f t="shared" si="14"/>
        <v>2.1388172203777494</v>
      </c>
      <c r="W16" s="97">
        <f t="shared" si="15"/>
        <v>-13.72665905026982</v>
      </c>
      <c r="X16" s="25">
        <f aca="true" t="shared" si="28" ref="X16:X34">(V17-V15)/2</f>
        <v>-0.1481581334548454</v>
      </c>
      <c r="Y16" s="23">
        <f t="shared" si="16"/>
        <v>6.762816496538772</v>
      </c>
      <c r="Z16" s="23">
        <f t="shared" si="17"/>
        <v>1.7566264497877127</v>
      </c>
      <c r="AA16" s="205">
        <f>ERF(AH16)+ERF(AI16)-1</f>
        <v>0.9073130544025694</v>
      </c>
      <c r="AB16" s="52">
        <f t="shared" si="18"/>
        <v>7</v>
      </c>
      <c r="AC16" s="136">
        <f t="shared" si="24"/>
        <v>10</v>
      </c>
      <c r="AD16" s="137">
        <f aca="true" t="shared" si="29" ref="AD16:AD34">AD17</f>
        <v>8.9</v>
      </c>
      <c r="AE16" s="199">
        <f t="shared" si="25"/>
        <v>0</v>
      </c>
      <c r="AF16" s="154">
        <f t="shared" si="19"/>
        <v>1.631966327966451</v>
      </c>
      <c r="AG16" s="177">
        <f>IF(ABS(AF16)&lt;10,SIGN(AF16)*ERF(ABS(AF16)),SIGN(AF16))</f>
        <v>0.978998019763901</v>
      </c>
      <c r="AH16" s="193">
        <f t="shared" si="20"/>
        <v>2.061888479673021</v>
      </c>
      <c r="AI16" s="193">
        <f t="shared" si="21"/>
        <v>1.2020441762598812</v>
      </c>
    </row>
    <row r="17" spans="1:35" s="26" customFormat="1" ht="15" customHeight="1">
      <c r="A17" s="262">
        <f t="shared" si="26"/>
        <v>8</v>
      </c>
      <c r="B17" s="271">
        <f aca="true" t="shared" si="30" ref="B17:B34">A17*$B$3</f>
        <v>-42.8118135442132</v>
      </c>
      <c r="C17" s="128">
        <f aca="true" t="shared" si="31" ref="C17:C34">A17*$Z$4</f>
        <v>0.32289599999999996</v>
      </c>
      <c r="D17" s="143">
        <f aca="true" t="shared" si="32" ref="D17:D35">(0.187/$B$5)*10^6/(SQRT(B17^2+C17^2))</f>
        <v>7044.885511543339</v>
      </c>
      <c r="E17" s="143">
        <f t="shared" si="0"/>
        <v>41666.666666666664</v>
      </c>
      <c r="F17" s="105">
        <f t="shared" si="1"/>
        <v>166.78808497464007</v>
      </c>
      <c r="G17" s="105">
        <f t="shared" si="2"/>
        <v>212.45428988257157</v>
      </c>
      <c r="H17" s="50">
        <f t="shared" si="3"/>
        <v>0.1901918255931509</v>
      </c>
      <c r="I17" s="49">
        <f t="shared" si="4"/>
        <v>4.112932606334351</v>
      </c>
      <c r="J17" s="49">
        <f t="shared" si="27"/>
        <v>-0.2185394336829983</v>
      </c>
      <c r="K17" s="49">
        <f t="shared" si="5"/>
        <v>0.026381838069033766</v>
      </c>
      <c r="L17" s="49">
        <f t="shared" si="6"/>
        <v>0.07616112861194792</v>
      </c>
      <c r="M17" s="49">
        <f t="shared" si="22"/>
        <v>0.001581516664999869</v>
      </c>
      <c r="N17" s="49">
        <f t="shared" si="23"/>
        <v>0.1770890683974274</v>
      </c>
      <c r="O17" s="49">
        <f t="shared" si="7"/>
        <v>0.21595759415056107</v>
      </c>
      <c r="P17" s="205">
        <f t="shared" si="8"/>
        <v>5.006190046751059</v>
      </c>
      <c r="Q17" s="49">
        <f t="shared" si="9"/>
        <v>0</v>
      </c>
      <c r="R17" s="197">
        <f t="shared" si="10"/>
        <v>0.2377773865371164</v>
      </c>
      <c r="S17" s="53">
        <f t="shared" si="11"/>
        <v>5.010109609624555</v>
      </c>
      <c r="T17" s="49">
        <f t="shared" si="12"/>
        <v>6.112932606334351</v>
      </c>
      <c r="U17" s="49">
        <f t="shared" si="13"/>
        <v>0.8971770032902038</v>
      </c>
      <c r="V17" s="54">
        <f t="shared" si="14"/>
        <v>1.9898903903754448</v>
      </c>
      <c r="W17" s="97">
        <f t="shared" si="15"/>
        <v>-13.856900039622527</v>
      </c>
      <c r="X17" s="25">
        <f t="shared" si="28"/>
        <v>-0.1497455386938742</v>
      </c>
      <c r="Y17" s="23">
        <f t="shared" si="16"/>
        <v>6.762816496538772</v>
      </c>
      <c r="Z17" s="23">
        <f t="shared" si="17"/>
        <v>1.7566264497877127</v>
      </c>
      <c r="AA17" s="205">
        <f>ERF(AH17)+ERF(AI17)-1</f>
        <v>0.9061562261038449</v>
      </c>
      <c r="AB17" s="52">
        <f t="shared" si="18"/>
        <v>7</v>
      </c>
      <c r="AC17" s="136">
        <f t="shared" si="24"/>
        <v>10</v>
      </c>
      <c r="AD17" s="137">
        <f t="shared" si="29"/>
        <v>8.9</v>
      </c>
      <c r="AE17" s="199">
        <f t="shared" si="25"/>
        <v>0</v>
      </c>
      <c r="AF17" s="154">
        <f t="shared" si="19"/>
        <v>1.6266467785595056</v>
      </c>
      <c r="AG17" s="177">
        <f>IF(ABS(AF17)&lt;10,SIGN(AF17)*ERF(ABS(AF17)),SIGN(AF17))</f>
        <v>0.9785758967344124</v>
      </c>
      <c r="AH17" s="193">
        <f t="shared" si="20"/>
        <v>2.055167558137281</v>
      </c>
      <c r="AI17" s="193">
        <f t="shared" si="21"/>
        <v>1.1981259989817301</v>
      </c>
    </row>
    <row r="18" spans="1:35" s="26" customFormat="1" ht="15" customHeight="1">
      <c r="A18" s="262">
        <f t="shared" si="26"/>
        <v>8.25</v>
      </c>
      <c r="B18" s="271">
        <f t="shared" si="30"/>
        <v>-44.149682717469865</v>
      </c>
      <c r="C18" s="128">
        <f t="shared" si="31"/>
        <v>0.33298649999999996</v>
      </c>
      <c r="D18" s="143">
        <f t="shared" si="32"/>
        <v>6831.404132405662</v>
      </c>
      <c r="E18" s="143">
        <f t="shared" si="0"/>
        <v>40404.0404040404</v>
      </c>
      <c r="F18" s="105">
        <f t="shared" si="1"/>
        <v>167.6942678827642</v>
      </c>
      <c r="G18" s="105">
        <f t="shared" si="2"/>
        <v>213.16643141155288</v>
      </c>
      <c r="H18" s="50">
        <f t="shared" si="3"/>
        <v>0.19417596595148906</v>
      </c>
      <c r="I18" s="49">
        <f t="shared" si="4"/>
        <v>4.2414617502823</v>
      </c>
      <c r="J18" s="49">
        <f t="shared" si="27"/>
        <v>-0.22536879098559198</v>
      </c>
      <c r="K18" s="49">
        <f t="shared" si="5"/>
        <v>0.028014319298705986</v>
      </c>
      <c r="L18" s="49">
        <f t="shared" si="6"/>
        <v>0.08607330225984143</v>
      </c>
      <c r="M18" s="49">
        <f t="shared" si="22"/>
        <v>0.0015762331703686341</v>
      </c>
      <c r="N18" s="49">
        <f t="shared" si="23"/>
        <v>0.1764727475357676</v>
      </c>
      <c r="O18" s="49">
        <f t="shared" si="7"/>
        <v>0.22296507824915254</v>
      </c>
      <c r="P18" s="205">
        <f t="shared" si="8"/>
        <v>5.006190046751059</v>
      </c>
      <c r="Q18" s="49">
        <f t="shared" si="9"/>
        <v>0</v>
      </c>
      <c r="R18" s="197">
        <f t="shared" si="10"/>
        <v>0.23952501273144872</v>
      </c>
      <c r="S18" s="53">
        <f t="shared" si="11"/>
        <v>5.160673857009999</v>
      </c>
      <c r="T18" s="49">
        <f t="shared" si="12"/>
        <v>6.2414617502823</v>
      </c>
      <c r="U18" s="49">
        <f t="shared" si="13"/>
        <v>0.9192121067276986</v>
      </c>
      <c r="V18" s="54">
        <f t="shared" si="14"/>
        <v>1.839326142990001</v>
      </c>
      <c r="W18" s="97">
        <f t="shared" si="15"/>
        <v>-13.987176809764808</v>
      </c>
      <c r="X18" s="25">
        <f t="shared" si="28"/>
        <v>-0.15143619914108042</v>
      </c>
      <c r="Y18" s="23">
        <f t="shared" si="16"/>
        <v>6.762816496538772</v>
      </c>
      <c r="Z18" s="23">
        <f t="shared" si="17"/>
        <v>1.7566264497877127</v>
      </c>
      <c r="AA18" s="205">
        <f>ERF(AH18)+ERF(AI18)-1</f>
        <v>0.9049610808132078</v>
      </c>
      <c r="AB18" s="52">
        <f t="shared" si="18"/>
        <v>7</v>
      </c>
      <c r="AC18" s="136">
        <f t="shared" si="24"/>
        <v>10</v>
      </c>
      <c r="AD18" s="137">
        <f t="shared" si="29"/>
        <v>8.9</v>
      </c>
      <c r="AE18" s="199">
        <f t="shared" si="25"/>
        <v>0</v>
      </c>
      <c r="AF18" s="154">
        <f t="shared" si="19"/>
        <v>1.6212125142791254</v>
      </c>
      <c r="AG18" s="177">
        <f>IF(ABS(AF18)&lt;10,SIGN(AF18)*ERF(ABS(AF18)),SIGN(AF18))</f>
        <v>0.9781370610367569</v>
      </c>
      <c r="AH18" s="193">
        <f t="shared" si="20"/>
        <v>2.048301701456784</v>
      </c>
      <c r="AI18" s="193">
        <f t="shared" si="21"/>
        <v>1.1941233271014668</v>
      </c>
    </row>
    <row r="19" spans="1:35" s="26" customFormat="1" ht="15" customHeight="1">
      <c r="A19" s="262">
        <f t="shared" si="26"/>
        <v>8.5</v>
      </c>
      <c r="B19" s="271">
        <f t="shared" si="30"/>
        <v>-45.48755189072653</v>
      </c>
      <c r="C19" s="128">
        <f t="shared" si="31"/>
        <v>0.34307699999999997</v>
      </c>
      <c r="D19" s="143">
        <f t="shared" si="32"/>
        <v>6630.480481452553</v>
      </c>
      <c r="E19" s="143">
        <f t="shared" si="0"/>
        <v>39215.686274509804</v>
      </c>
      <c r="F19" s="105">
        <f t="shared" si="1"/>
        <v>168.6232365163039</v>
      </c>
      <c r="G19" s="105">
        <f t="shared" si="2"/>
        <v>213.89800348117643</v>
      </c>
      <c r="H19" s="50">
        <f t="shared" si="3"/>
        <v>0.19831806770757773</v>
      </c>
      <c r="I19" s="49">
        <f t="shared" si="4"/>
        <v>4.369990894230249</v>
      </c>
      <c r="J19" s="49">
        <f t="shared" si="27"/>
        <v>-0.23219814828818572</v>
      </c>
      <c r="K19" s="49">
        <f t="shared" si="5"/>
        <v>0.029691858921324015</v>
      </c>
      <c r="L19" s="49">
        <f t="shared" si="6"/>
        <v>0.09693066785253882</v>
      </c>
      <c r="M19" s="49">
        <f t="shared" si="22"/>
        <v>0.0015708421515470987</v>
      </c>
      <c r="N19" s="49">
        <f t="shared" si="23"/>
        <v>0.17584406420496232</v>
      </c>
      <c r="O19" s="49">
        <f t="shared" si="7"/>
        <v>0.23059153148711722</v>
      </c>
      <c r="P19" s="205">
        <f t="shared" si="8"/>
        <v>5.006190046751059</v>
      </c>
      <c r="Q19" s="49">
        <f t="shared" si="9"/>
        <v>0</v>
      </c>
      <c r="R19" s="197">
        <f t="shared" si="10"/>
        <v>0.2413067824242722</v>
      </c>
      <c r="S19" s="53">
        <f t="shared" si="11"/>
        <v>5.312982007906716</v>
      </c>
      <c r="T19" s="49">
        <f t="shared" si="12"/>
        <v>6.369990894230249</v>
      </c>
      <c r="U19" s="49">
        <f t="shared" si="13"/>
        <v>0.9429911136764675</v>
      </c>
      <c r="V19" s="54">
        <f t="shared" si="14"/>
        <v>1.687017992093284</v>
      </c>
      <c r="W19" s="97">
        <f t="shared" si="15"/>
        <v>-14.117487723405581</v>
      </c>
      <c r="X19" s="25">
        <f t="shared" si="28"/>
        <v>-0.15323693395077997</v>
      </c>
      <c r="Y19" s="23">
        <f t="shared" si="16"/>
        <v>6.762816496538772</v>
      </c>
      <c r="Z19" s="23">
        <f t="shared" si="17"/>
        <v>1.7566264497877127</v>
      </c>
      <c r="AA19" s="205">
        <f>ERF(AH19)+ERF(AI19)-1</f>
        <v>0.9037275356450973</v>
      </c>
      <c r="AB19" s="52">
        <f t="shared" si="18"/>
        <v>7</v>
      </c>
      <c r="AC19" s="136">
        <f t="shared" si="24"/>
        <v>10</v>
      </c>
      <c r="AD19" s="137">
        <f t="shared" si="29"/>
        <v>8.9</v>
      </c>
      <c r="AE19" s="199">
        <f t="shared" si="25"/>
        <v>0</v>
      </c>
      <c r="AF19" s="154">
        <f t="shared" si="19"/>
        <v>1.6156676575012774</v>
      </c>
      <c r="AG19" s="177">
        <f>IF(ABS(AF19)&lt;10,SIGN(AF19)*ERF(ABS(AF19)),SIGN(AF19))</f>
        <v>0.9776812532170827</v>
      </c>
      <c r="AH19" s="193">
        <f t="shared" si="20"/>
        <v>2.041296117998498</v>
      </c>
      <c r="AI19" s="193">
        <f t="shared" si="21"/>
        <v>1.190039197004057</v>
      </c>
    </row>
    <row r="20" spans="1:35" s="20" customFormat="1" ht="15" customHeight="1">
      <c r="A20" s="261">
        <f t="shared" si="26"/>
        <v>8.75</v>
      </c>
      <c r="B20" s="270">
        <f t="shared" si="30"/>
        <v>-46.82542106398319</v>
      </c>
      <c r="C20" s="127">
        <f t="shared" si="31"/>
        <v>0.35316749999999997</v>
      </c>
      <c r="D20" s="142">
        <f t="shared" si="32"/>
        <v>6441.038181982481</v>
      </c>
      <c r="E20" s="142">
        <f t="shared" si="0"/>
        <v>38095.23809523809</v>
      </c>
      <c r="F20" s="104">
        <f t="shared" si="1"/>
        <v>169.57461639938634</v>
      </c>
      <c r="G20" s="104">
        <f t="shared" si="2"/>
        <v>214.6488074203978</v>
      </c>
      <c r="H20" s="98">
        <f t="shared" si="3"/>
        <v>0.20262094418788915</v>
      </c>
      <c r="I20" s="95">
        <f t="shared" si="4"/>
        <v>4.498520038178197</v>
      </c>
      <c r="J20" s="95">
        <f t="shared" si="27"/>
        <v>-0.2390275055907794</v>
      </c>
      <c r="K20" s="95">
        <f t="shared" si="5"/>
        <v>0.03141400389440976</v>
      </c>
      <c r="L20" s="95">
        <f t="shared" si="6"/>
        <v>0.10879529412227718</v>
      </c>
      <c r="M20" s="95">
        <f t="shared" si="22"/>
        <v>0.0015653476207856648</v>
      </c>
      <c r="N20" s="95">
        <f t="shared" si="23"/>
        <v>0.17520349688053394</v>
      </c>
      <c r="O20" s="95">
        <f t="shared" si="7"/>
        <v>0.23888692276948975</v>
      </c>
      <c r="P20" s="207">
        <f t="shared" si="8"/>
        <v>5.006190046751059</v>
      </c>
      <c r="Q20" s="95">
        <f t="shared" si="9"/>
        <v>0</v>
      </c>
      <c r="R20" s="196">
        <f t="shared" si="10"/>
        <v>0.24312102877317207</v>
      </c>
      <c r="S20" s="96">
        <f t="shared" si="11"/>
        <v>5.467147724911559</v>
      </c>
      <c r="T20" s="95">
        <f t="shared" si="12"/>
        <v>6.498520038178197</v>
      </c>
      <c r="U20" s="95">
        <f t="shared" si="13"/>
        <v>0.9686276867333623</v>
      </c>
      <c r="V20" s="100">
        <f t="shared" si="14"/>
        <v>1.532852275088441</v>
      </c>
      <c r="W20" s="101">
        <f t="shared" si="15"/>
        <v>-14.247831113702428</v>
      </c>
      <c r="X20" s="27">
        <f t="shared" si="28"/>
        <v>-0.15515533497428668</v>
      </c>
      <c r="Y20" s="18">
        <f t="shared" si="16"/>
        <v>6.762816496538772</v>
      </c>
      <c r="Z20" s="18">
        <f t="shared" si="17"/>
        <v>1.7566264497877127</v>
      </c>
      <c r="AA20" s="207">
        <f>ERF(AH20)+ERF(AI20)-1</f>
        <v>0.902455513756842</v>
      </c>
      <c r="AB20" s="99">
        <f t="shared" si="18"/>
        <v>7</v>
      </c>
      <c r="AC20" s="183">
        <f t="shared" si="24"/>
        <v>10</v>
      </c>
      <c r="AD20" s="184">
        <f t="shared" si="29"/>
        <v>8.9</v>
      </c>
      <c r="AE20" s="198">
        <f t="shared" si="25"/>
        <v>0</v>
      </c>
      <c r="AF20" s="153">
        <f t="shared" si="19"/>
        <v>1.6100163349698238</v>
      </c>
      <c r="AG20" s="176">
        <f>IF(ABS(AF20)&lt;10,SIGN(AF20)*ERF(ABS(AF20)),SIGN(AF20))</f>
        <v>0.977208213463807</v>
      </c>
      <c r="AH20" s="191">
        <f t="shared" si="20"/>
        <v>2.034156021647956</v>
      </c>
      <c r="AI20" s="191">
        <f t="shared" si="21"/>
        <v>1.1858766482916918</v>
      </c>
    </row>
    <row r="21" spans="1:35" s="26" customFormat="1" ht="15" customHeight="1">
      <c r="A21" s="262">
        <f t="shared" si="26"/>
        <v>9</v>
      </c>
      <c r="B21" s="271">
        <f t="shared" si="30"/>
        <v>-48.16329023723985</v>
      </c>
      <c r="C21" s="128">
        <f t="shared" si="31"/>
        <v>0.36325799999999997</v>
      </c>
      <c r="D21" s="143">
        <f t="shared" si="32"/>
        <v>6262.12045470519</v>
      </c>
      <c r="E21" s="143">
        <f t="shared" si="0"/>
        <v>37037.03703703704</v>
      </c>
      <c r="F21" s="105">
        <f t="shared" si="1"/>
        <v>170.54803247775465</v>
      </c>
      <c r="G21" s="105">
        <f t="shared" si="2"/>
        <v>215.41864214137377</v>
      </c>
      <c r="H21" s="50">
        <f t="shared" si="3"/>
        <v>0.20708743424180104</v>
      </c>
      <c r="I21" s="49">
        <f t="shared" si="4"/>
        <v>4.627049182126146</v>
      </c>
      <c r="J21" s="49">
        <f t="shared" si="27"/>
        <v>-0.24585686289337308</v>
      </c>
      <c r="K21" s="49">
        <f t="shared" si="5"/>
        <v>0.0331802901480698</v>
      </c>
      <c r="L21" s="49">
        <f t="shared" si="6"/>
        <v>0.12173238976703124</v>
      </c>
      <c r="M21" s="49">
        <f t="shared" si="22"/>
        <v>0.0015597535879902714</v>
      </c>
      <c r="N21" s="49">
        <f t="shared" si="23"/>
        <v>0.17455152340698793</v>
      </c>
      <c r="O21" s="49">
        <f t="shared" si="7"/>
        <v>0.2479060903344909</v>
      </c>
      <c r="P21" s="205">
        <f t="shared" si="8"/>
        <v>5.006190046751059</v>
      </c>
      <c r="Q21" s="49">
        <f t="shared" si="9"/>
        <v>0</v>
      </c>
      <c r="R21" s="197">
        <f t="shared" si="10"/>
        <v>0.2449660579788328</v>
      </c>
      <c r="S21" s="53">
        <f t="shared" si="11"/>
        <v>5.623292677855289</v>
      </c>
      <c r="T21" s="49">
        <f t="shared" si="12"/>
        <v>6.627049182126146</v>
      </c>
      <c r="U21" s="49">
        <f t="shared" si="13"/>
        <v>0.9962434957291437</v>
      </c>
      <c r="V21" s="54">
        <f t="shared" si="14"/>
        <v>1.3767073221447106</v>
      </c>
      <c r="W21" s="97">
        <f t="shared" si="15"/>
        <v>-14.378205286856037</v>
      </c>
      <c r="X21" s="25">
        <f t="shared" si="28"/>
        <v>-0.15719989306686522</v>
      </c>
      <c r="Y21" s="23">
        <f t="shared" si="16"/>
        <v>6.762816496538772</v>
      </c>
      <c r="Z21" s="23">
        <f t="shared" si="17"/>
        <v>1.7566264497877127</v>
      </c>
      <c r="AA21" s="205">
        <f>ERF(AH21)+ERF(AI21)-1</f>
        <v>0.9011449448339339</v>
      </c>
      <c r="AB21" s="52">
        <f t="shared" si="18"/>
        <v>7</v>
      </c>
      <c r="AC21" s="136">
        <f t="shared" si="24"/>
        <v>10</v>
      </c>
      <c r="AD21" s="137">
        <f t="shared" si="29"/>
        <v>8.9</v>
      </c>
      <c r="AE21" s="199">
        <f t="shared" si="25"/>
        <v>0</v>
      </c>
      <c r="AF21" s="154">
        <f t="shared" si="19"/>
        <v>1.6042626710172638</v>
      </c>
      <c r="AG21" s="177">
        <f>IF(ABS(AF21)&lt;10,SIGN(AF21)*ERF(ABS(AF21)),SIGN(AF21))</f>
        <v>0.9767176822312811</v>
      </c>
      <c r="AH21" s="193">
        <f t="shared" si="20"/>
        <v>2.026886623244083</v>
      </c>
      <c r="AI21" s="193">
        <f t="shared" si="21"/>
        <v>1.1816387187904445</v>
      </c>
    </row>
    <row r="22" spans="1:35" s="26" customFormat="1" ht="15" customHeight="1">
      <c r="A22" s="262">
        <f t="shared" si="26"/>
        <v>9.25</v>
      </c>
      <c r="B22" s="271">
        <f t="shared" si="30"/>
        <v>-49.50115941049651</v>
      </c>
      <c r="C22" s="128">
        <f t="shared" si="31"/>
        <v>0.37334849999999997</v>
      </c>
      <c r="D22" s="143">
        <f t="shared" si="32"/>
        <v>6092.873955929374</v>
      </c>
      <c r="E22" s="143">
        <f t="shared" si="0"/>
        <v>36036.036036036036</v>
      </c>
      <c r="F22" s="105">
        <f t="shared" si="1"/>
        <v>171.54310962068996</v>
      </c>
      <c r="G22" s="105">
        <f t="shared" si="2"/>
        <v>216.20730435934874</v>
      </c>
      <c r="H22" s="50">
        <f t="shared" si="3"/>
        <v>0.21172039759146777</v>
      </c>
      <c r="I22" s="49">
        <f t="shared" si="4"/>
        <v>4.755578326074094</v>
      </c>
      <c r="J22" s="49">
        <f t="shared" si="27"/>
        <v>-0.25268622019596676</v>
      </c>
      <c r="K22" s="49">
        <f t="shared" si="5"/>
        <v>0.03499024279328916</v>
      </c>
      <c r="L22" s="49">
        <f t="shared" si="6"/>
        <v>0.13581058085430833</v>
      </c>
      <c r="M22" s="49">
        <f t="shared" si="22"/>
        <v>0.0015540640543834218</v>
      </c>
      <c r="N22" s="49">
        <f t="shared" si="23"/>
        <v>0.17388862023454205</v>
      </c>
      <c r="O22" s="49">
        <f t="shared" si="7"/>
        <v>0.25770943430713583</v>
      </c>
      <c r="P22" s="205">
        <f t="shared" si="8"/>
        <v>5.006190046751059</v>
      </c>
      <c r="Q22" s="49">
        <f t="shared" si="9"/>
        <v>0</v>
      </c>
      <c r="R22" s="197">
        <f t="shared" si="10"/>
        <v>0.2468401519837422</v>
      </c>
      <c r="S22" s="53">
        <f t="shared" si="11"/>
        <v>5.781547511045289</v>
      </c>
      <c r="T22" s="49">
        <f t="shared" si="12"/>
        <v>6.755578326074094</v>
      </c>
      <c r="U22" s="49">
        <f t="shared" si="13"/>
        <v>1.0259691849711956</v>
      </c>
      <c r="V22" s="54">
        <f t="shared" si="14"/>
        <v>1.2184524889547106</v>
      </c>
      <c r="W22" s="97">
        <f t="shared" si="15"/>
        <v>-14.508608524808896</v>
      </c>
      <c r="X22" s="25">
        <f t="shared" si="28"/>
        <v>-0.15938014696515523</v>
      </c>
      <c r="Y22" s="23">
        <f t="shared" si="16"/>
        <v>6.762816496538772</v>
      </c>
      <c r="Z22" s="23">
        <f t="shared" si="17"/>
        <v>1.7566264497877127</v>
      </c>
      <c r="AA22" s="205">
        <f>ERF(AH22)+ERF(AI22)-1</f>
        <v>0.8997957655568878</v>
      </c>
      <c r="AB22" s="52">
        <f t="shared" si="18"/>
        <v>7</v>
      </c>
      <c r="AC22" s="136">
        <f t="shared" si="24"/>
        <v>10</v>
      </c>
      <c r="AD22" s="137">
        <f t="shared" si="29"/>
        <v>8.9</v>
      </c>
      <c r="AE22" s="199">
        <f t="shared" si="25"/>
        <v>0</v>
      </c>
      <c r="AF22" s="154">
        <f t="shared" si="19"/>
        <v>1.5984107810448691</v>
      </c>
      <c r="AG22" s="177">
        <f>IF(ABS(AF22)&lt;10,SIGN(AF22)*ERF(ABS(AF22)),SIGN(AF22))</f>
        <v>0.976209400867347</v>
      </c>
      <c r="AH22" s="193">
        <f t="shared" si="20"/>
        <v>2.0194931223417516</v>
      </c>
      <c r="AI22" s="193">
        <f t="shared" si="21"/>
        <v>1.1773284397479868</v>
      </c>
    </row>
    <row r="23" spans="1:35" s="26" customFormat="1" ht="15" customHeight="1">
      <c r="A23" s="262">
        <f t="shared" si="26"/>
        <v>9.5</v>
      </c>
      <c r="B23" s="271">
        <f t="shared" si="30"/>
        <v>-50.839028583753176</v>
      </c>
      <c r="C23" s="128">
        <f t="shared" si="31"/>
        <v>0.383439</v>
      </c>
      <c r="D23" s="143">
        <f t="shared" si="32"/>
        <v>5932.535167615442</v>
      </c>
      <c r="E23" s="143">
        <f t="shared" si="0"/>
        <v>35087.71929824561</v>
      </c>
      <c r="F23" s="105">
        <f t="shared" si="1"/>
        <v>172.55947309813916</v>
      </c>
      <c r="G23" s="105">
        <f t="shared" si="2"/>
        <v>217.01458880892642</v>
      </c>
      <c r="H23" s="50">
        <f t="shared" si="3"/>
        <v>0.21652271015487085</v>
      </c>
      <c r="I23" s="49">
        <f t="shared" si="4"/>
        <v>4.884107470022043</v>
      </c>
      <c r="J23" s="49">
        <f t="shared" si="27"/>
        <v>-0.25951557749856047</v>
      </c>
      <c r="K23" s="49">
        <f t="shared" si="5"/>
        <v>0.036843376334583705</v>
      </c>
      <c r="L23" s="49">
        <f t="shared" si="6"/>
        <v>0.15110222791102132</v>
      </c>
      <c r="M23" s="49">
        <f t="shared" si="22"/>
        <v>0.001548283006428826</v>
      </c>
      <c r="N23" s="49">
        <f t="shared" si="23"/>
        <v>0.17321526168903698</v>
      </c>
      <c r="O23" s="49">
        <f t="shared" si="7"/>
        <v>0.2683637307422094</v>
      </c>
      <c r="P23" s="205">
        <f t="shared" si="8"/>
        <v>5.006190046751059</v>
      </c>
      <c r="Q23" s="49">
        <f t="shared" si="9"/>
        <v>0</v>
      </c>
      <c r="R23" s="197">
        <f t="shared" si="10"/>
        <v>0.24874157126641816</v>
      </c>
      <c r="S23" s="53">
        <f t="shared" si="11"/>
        <v>5.9420529717856</v>
      </c>
      <c r="T23" s="49">
        <f t="shared" si="12"/>
        <v>6.884107470022043</v>
      </c>
      <c r="U23" s="49">
        <f t="shared" si="13"/>
        <v>1.057945501763557</v>
      </c>
      <c r="V23" s="54">
        <f t="shared" si="14"/>
        <v>1.0579470282144001</v>
      </c>
      <c r="W23" s="97">
        <f t="shared" si="15"/>
        <v>-14.639039088039521</v>
      </c>
      <c r="X23" s="25">
        <f t="shared" si="28"/>
        <v>-0.16170685977481591</v>
      </c>
      <c r="Y23" s="23">
        <f t="shared" si="16"/>
        <v>6.762816496538772</v>
      </c>
      <c r="Z23" s="23">
        <f t="shared" si="17"/>
        <v>1.7566264497877127</v>
      </c>
      <c r="AA23" s="205">
        <f>ERF(AH23)+ERF(AI23)-1</f>
        <v>0.8984079200486312</v>
      </c>
      <c r="AB23" s="52">
        <f t="shared" si="18"/>
        <v>7</v>
      </c>
      <c r="AC23" s="136">
        <f t="shared" si="24"/>
        <v>10</v>
      </c>
      <c r="AD23" s="137">
        <f t="shared" si="29"/>
        <v>8.9</v>
      </c>
      <c r="AE23" s="199">
        <f t="shared" si="25"/>
        <v>0</v>
      </c>
      <c r="AF23" s="154">
        <f t="shared" si="19"/>
        <v>1.592464765273962</v>
      </c>
      <c r="AG23" s="177">
        <f>IF(ABS(AF23)&lt;10,SIGN(AF23)*ERF(ABS(AF23)),SIGN(AF23))</f>
        <v>0.9756831122429904</v>
      </c>
      <c r="AH23" s="193">
        <f t="shared" si="20"/>
        <v>2.0119806993169065</v>
      </c>
      <c r="AI23" s="193">
        <f t="shared" si="21"/>
        <v>1.172948831231018</v>
      </c>
    </row>
    <row r="24" spans="1:35" s="26" customFormat="1" ht="15" customHeight="1">
      <c r="A24" s="262">
        <f t="shared" si="26"/>
        <v>9.75</v>
      </c>
      <c r="B24" s="271">
        <f t="shared" si="30"/>
        <v>-52.17689775700984</v>
      </c>
      <c r="C24" s="128">
        <f t="shared" si="31"/>
        <v>0.3935295</v>
      </c>
      <c r="D24" s="143">
        <f t="shared" si="32"/>
        <v>5780.41888126633</v>
      </c>
      <c r="E24" s="143">
        <f t="shared" si="0"/>
        <v>34188.03418803419</v>
      </c>
      <c r="F24" s="105">
        <f t="shared" si="1"/>
        <v>173.59674903277238</v>
      </c>
      <c r="G24" s="105">
        <f t="shared" si="2"/>
        <v>217.84028845635362</v>
      </c>
      <c r="H24" s="50">
        <f t="shared" si="3"/>
        <v>0.2214972593549322</v>
      </c>
      <c r="I24" s="49">
        <f t="shared" si="4"/>
        <v>5.012636613969991</v>
      </c>
      <c r="J24" s="49">
        <f t="shared" si="27"/>
        <v>-0.2663449348011542</v>
      </c>
      <c r="K24" s="49">
        <f t="shared" si="5"/>
        <v>0.03873919488687715</v>
      </c>
      <c r="L24" s="49">
        <f t="shared" si="6"/>
        <v>0.16768378822783941</v>
      </c>
      <c r="M24" s="49">
        <f t="shared" si="22"/>
        <v>0.001542414410029212</v>
      </c>
      <c r="N24" s="49">
        <f t="shared" si="23"/>
        <v>0.1725319192761318</v>
      </c>
      <c r="O24" s="49">
        <f t="shared" si="7"/>
        <v>0.2799430920444964</v>
      </c>
      <c r="P24" s="205">
        <f t="shared" si="8"/>
        <v>5.006190046751059</v>
      </c>
      <c r="Q24" s="49">
        <f t="shared" si="9"/>
        <v>0</v>
      </c>
      <c r="R24" s="197">
        <f t="shared" si="10"/>
        <v>0.2506685577215297</v>
      </c>
      <c r="S24" s="53">
        <f t="shared" si="11"/>
        <v>6.104961230594921</v>
      </c>
      <c r="T24" s="49">
        <f t="shared" si="12"/>
        <v>7.012636613969991</v>
      </c>
      <c r="U24" s="49">
        <f t="shared" si="13"/>
        <v>1.0923246166249303</v>
      </c>
      <c r="V24" s="54">
        <f t="shared" si="14"/>
        <v>0.8950387694050788</v>
      </c>
      <c r="W24" s="97">
        <f t="shared" si="15"/>
        <v>-14.769495218442582</v>
      </c>
      <c r="X24" s="25">
        <f t="shared" si="28"/>
        <v>-0.16419222944449396</v>
      </c>
      <c r="Y24" s="23">
        <f t="shared" si="16"/>
        <v>6.762816496538772</v>
      </c>
      <c r="Z24" s="23">
        <f t="shared" si="17"/>
        <v>1.7566264497877127</v>
      </c>
      <c r="AA24" s="205">
        <f>ERF(AH24)+ERF(AI24)-1</f>
        <v>0.8969813603015075</v>
      </c>
      <c r="AB24" s="52">
        <f t="shared" si="18"/>
        <v>7</v>
      </c>
      <c r="AC24" s="136">
        <f t="shared" si="24"/>
        <v>10</v>
      </c>
      <c r="AD24" s="137">
        <f t="shared" si="29"/>
        <v>8.9</v>
      </c>
      <c r="AE24" s="199">
        <f t="shared" si="25"/>
        <v>0</v>
      </c>
      <c r="AF24" s="154">
        <f t="shared" si="19"/>
        <v>1.5864287027781558</v>
      </c>
      <c r="AG24" s="177">
        <f>IF(ABS(AF24)&lt;10,SIGN(AF24)*ERF(ABS(AF24)),SIGN(AF24))</f>
        <v>0.9751385613822401</v>
      </c>
      <c r="AH24" s="193">
        <f t="shared" si="20"/>
        <v>2.0043545078266707</v>
      </c>
      <c r="AI24" s="193">
        <f t="shared" si="21"/>
        <v>1.1685028977296414</v>
      </c>
    </row>
    <row r="25" spans="1:35" s="20" customFormat="1" ht="15" customHeight="1">
      <c r="A25" s="261">
        <f t="shared" si="26"/>
        <v>10</v>
      </c>
      <c r="B25" s="270">
        <f t="shared" si="30"/>
        <v>-53.514766930266504</v>
      </c>
      <c r="C25" s="127">
        <f t="shared" si="31"/>
        <v>0.40362</v>
      </c>
      <c r="D25" s="142">
        <f t="shared" si="32"/>
        <v>5635.908409234671</v>
      </c>
      <c r="E25" s="142">
        <f t="shared" si="0"/>
        <v>33333.33333333333</v>
      </c>
      <c r="F25" s="104">
        <f t="shared" si="1"/>
        <v>174.65456482684863</v>
      </c>
      <c r="G25" s="104">
        <f t="shared" si="2"/>
        <v>218.68419470747278</v>
      </c>
      <c r="H25" s="98">
        <f t="shared" si="3"/>
        <v>0.22664691468537485</v>
      </c>
      <c r="I25" s="95">
        <f t="shared" si="4"/>
        <v>5.141165757917939</v>
      </c>
      <c r="J25" s="95">
        <f t="shared" si="27"/>
        <v>-0.2731742921037479</v>
      </c>
      <c r="K25" s="95">
        <f t="shared" si="5"/>
        <v>0.040677192396468886</v>
      </c>
      <c r="L25" s="95">
        <f t="shared" si="6"/>
        <v>0.18563622988728457</v>
      </c>
      <c r="M25" s="95">
        <f t="shared" si="22"/>
        <v>0.0015364622050050621</v>
      </c>
      <c r="N25" s="95">
        <f t="shared" si="23"/>
        <v>0.17183906102067995</v>
      </c>
      <c r="O25" s="95">
        <f t="shared" si="7"/>
        <v>0.2925301048053516</v>
      </c>
      <c r="P25" s="207">
        <f t="shared" si="8"/>
        <v>5.006190046751059</v>
      </c>
      <c r="Q25" s="95">
        <f t="shared" si="9"/>
        <v>0</v>
      </c>
      <c r="R25" s="196">
        <f t="shared" si="10"/>
        <v>0.25261936235795723</v>
      </c>
      <c r="S25" s="96">
        <f t="shared" si="11"/>
        <v>6.270437430674588</v>
      </c>
      <c r="T25" s="95">
        <f t="shared" si="12"/>
        <v>7.141165757917939</v>
      </c>
      <c r="U25" s="95">
        <f t="shared" si="13"/>
        <v>1.1292716727566487</v>
      </c>
      <c r="V25" s="100">
        <f t="shared" si="14"/>
        <v>0.7295625693254122</v>
      </c>
      <c r="W25" s="101">
        <f t="shared" si="15"/>
        <v>-14.899975167026955</v>
      </c>
      <c r="X25" s="27">
        <f t="shared" si="28"/>
        <v>-0.16685014134730292</v>
      </c>
      <c r="Y25" s="18">
        <f t="shared" si="16"/>
        <v>6.762816496538772</v>
      </c>
      <c r="Z25" s="18">
        <f t="shared" si="17"/>
        <v>1.7566264497877127</v>
      </c>
      <c r="AA25" s="207">
        <f>ERF(AH25)+ERF(AI25)-1</f>
        <v>0.8955160465831029</v>
      </c>
      <c r="AB25" s="99">
        <f t="shared" si="18"/>
        <v>7</v>
      </c>
      <c r="AC25" s="183">
        <f t="shared" si="24"/>
        <v>10</v>
      </c>
      <c r="AD25" s="184">
        <f t="shared" si="29"/>
        <v>8.9</v>
      </c>
      <c r="AE25" s="198">
        <f t="shared" si="25"/>
        <v>0.7295625693254122</v>
      </c>
      <c r="AF25" s="153">
        <f t="shared" si="19"/>
        <v>1.580306645804536</v>
      </c>
      <c r="AG25" s="176">
        <f>IF(ABS(AF25)&lt;10,SIGN(AF25)*ERF(ABS(AF25)),SIGN(AF25))</f>
        <v>0.9745754987941638</v>
      </c>
      <c r="AH25" s="191">
        <f t="shared" si="20"/>
        <v>1.9966196676345094</v>
      </c>
      <c r="AI25" s="191">
        <f t="shared" si="21"/>
        <v>1.1639936239745627</v>
      </c>
    </row>
    <row r="26" spans="1:35" s="26" customFormat="1" ht="15" customHeight="1">
      <c r="A26" s="262">
        <f t="shared" si="26"/>
        <v>10.25</v>
      </c>
      <c r="B26" s="271">
        <f t="shared" si="30"/>
        <v>-54.85263610352317</v>
      </c>
      <c r="C26" s="128">
        <f t="shared" si="31"/>
        <v>0.4137104999999999</v>
      </c>
      <c r="D26" s="143">
        <f t="shared" si="32"/>
        <v>5498.44722852163</v>
      </c>
      <c r="E26" s="143">
        <f t="shared" si="0"/>
        <v>32520.325203252032</v>
      </c>
      <c r="F26" s="105">
        <f t="shared" si="1"/>
        <v>175.73254956391244</v>
      </c>
      <c r="G26" s="105">
        <f t="shared" si="2"/>
        <v>219.54609761103234</v>
      </c>
      <c r="H26" s="50">
        <f t="shared" si="3"/>
        <v>0.23197461997016772</v>
      </c>
      <c r="I26" s="49">
        <f t="shared" si="4"/>
        <v>5.269694901865888</v>
      </c>
      <c r="J26" s="49">
        <f t="shared" si="27"/>
        <v>-0.2800036494063416</v>
      </c>
      <c r="K26" s="49">
        <f t="shared" si="5"/>
        <v>0.042656852865952916</v>
      </c>
      <c r="L26" s="49">
        <f t="shared" si="6"/>
        <v>0.20504550521477063</v>
      </c>
      <c r="M26" s="49">
        <f t="shared" si="22"/>
        <v>0.0015304302998602505</v>
      </c>
      <c r="N26" s="49">
        <f t="shared" si="23"/>
        <v>0.17113715084194278</v>
      </c>
      <c r="O26" s="49">
        <f t="shared" si="7"/>
        <v>0.30621718401654197</v>
      </c>
      <c r="P26" s="205">
        <f t="shared" si="8"/>
        <v>5.006190046751059</v>
      </c>
      <c r="Q26" s="49">
        <f t="shared" si="9"/>
        <v>0</v>
      </c>
      <c r="R26" s="197">
        <f t="shared" si="10"/>
        <v>0.25459215138021624</v>
      </c>
      <c r="S26" s="53">
        <f t="shared" si="11"/>
        <v>6.438661513289527</v>
      </c>
      <c r="T26" s="49">
        <f t="shared" si="12"/>
        <v>7.269694901865888</v>
      </c>
      <c r="U26" s="49">
        <f t="shared" si="13"/>
        <v>1.168966611423639</v>
      </c>
      <c r="V26" s="54">
        <f t="shared" si="14"/>
        <v>0.5613384867104729</v>
      </c>
      <c r="W26" s="97">
        <f t="shared" si="15"/>
        <v>-15.030477099997164</v>
      </c>
      <c r="X26" s="25">
        <f t="shared" si="28"/>
        <v>-0.16969641558302806</v>
      </c>
      <c r="Y26" s="23">
        <f t="shared" si="16"/>
        <v>6.762816496538772</v>
      </c>
      <c r="Z26" s="23">
        <f t="shared" si="17"/>
        <v>1.7566264497877127</v>
      </c>
      <c r="AA26" s="205">
        <f>ERF(AH26)+ERF(AI26)-1</f>
        <v>0.8940119478202335</v>
      </c>
      <c r="AB26" s="52">
        <f t="shared" si="18"/>
        <v>7</v>
      </c>
      <c r="AC26" s="136">
        <f t="shared" si="24"/>
        <v>10</v>
      </c>
      <c r="AD26" s="137">
        <f t="shared" si="29"/>
        <v>8.9</v>
      </c>
      <c r="AE26" s="199">
        <f t="shared" si="25"/>
        <v>0</v>
      </c>
      <c r="AF26" s="154">
        <f t="shared" si="19"/>
        <v>1.5741026143899284</v>
      </c>
      <c r="AG26" s="177">
        <f>IF(ABS(AF26)&lt;10,SIGN(AF26)*ERF(ABS(AF26)),SIGN(AF26))</f>
        <v>0.97399367050103</v>
      </c>
      <c r="AH26" s="193">
        <f t="shared" si="20"/>
        <v>1.9887812578082178</v>
      </c>
      <c r="AI26" s="193">
        <f t="shared" si="21"/>
        <v>1.159423970971639</v>
      </c>
    </row>
    <row r="27" spans="1:35" s="26" customFormat="1" ht="15" customHeight="1">
      <c r="A27" s="262">
        <f t="shared" si="26"/>
        <v>10.5</v>
      </c>
      <c r="B27" s="271">
        <f t="shared" si="30"/>
        <v>-56.190505276779824</v>
      </c>
      <c r="C27" s="128">
        <f t="shared" si="31"/>
        <v>0.42380099999999993</v>
      </c>
      <c r="D27" s="143">
        <f t="shared" si="32"/>
        <v>5367.531818318735</v>
      </c>
      <c r="E27" s="143">
        <f t="shared" si="0"/>
        <v>31746.031746031746</v>
      </c>
      <c r="F27" s="105">
        <f t="shared" si="1"/>
        <v>176.83033438547412</v>
      </c>
      <c r="G27" s="105">
        <f t="shared" si="2"/>
        <v>220.42578605707314</v>
      </c>
      <c r="H27" s="50">
        <f t="shared" si="3"/>
        <v>0.23748324615268857</v>
      </c>
      <c r="I27" s="49">
        <f t="shared" si="4"/>
        <v>5.398224045813837</v>
      </c>
      <c r="J27" s="49">
        <f t="shared" si="27"/>
        <v>-0.28683300670893525</v>
      </c>
      <c r="K27" s="49">
        <f t="shared" si="5"/>
        <v>0.044677650582949285</v>
      </c>
      <c r="L27" s="49">
        <f t="shared" si="6"/>
        <v>0.2260030928010516</v>
      </c>
      <c r="M27" s="49">
        <f t="shared" si="22"/>
        <v>0.0015243225668389003</v>
      </c>
      <c r="N27" s="49">
        <f t="shared" si="23"/>
        <v>0.1704266479650983</v>
      </c>
      <c r="O27" s="49">
        <f t="shared" si="7"/>
        <v>0.3211081572443386</v>
      </c>
      <c r="P27" s="205">
        <f t="shared" si="8"/>
        <v>5.006190046751059</v>
      </c>
      <c r="Q27" s="49">
        <f t="shared" si="9"/>
        <v>0</v>
      </c>
      <c r="R27" s="197">
        <f t="shared" si="10"/>
        <v>0.25658507186362955</v>
      </c>
      <c r="S27" s="53">
        <f t="shared" si="11"/>
        <v>6.609830261840644</v>
      </c>
      <c r="T27" s="49">
        <f t="shared" si="12"/>
        <v>7.398224045813837</v>
      </c>
      <c r="U27" s="49">
        <f t="shared" si="13"/>
        <v>1.2116062160268068</v>
      </c>
      <c r="V27" s="54">
        <f t="shared" si="14"/>
        <v>0.39016973815935607</v>
      </c>
      <c r="W27" s="97">
        <f t="shared" si="15"/>
        <v>-15.160999164428524</v>
      </c>
      <c r="X27" s="25">
        <f t="shared" si="28"/>
        <v>-0.17274940461560906</v>
      </c>
      <c r="Y27" s="23">
        <f t="shared" si="16"/>
        <v>6.762816496538772</v>
      </c>
      <c r="Z27" s="23">
        <f t="shared" si="17"/>
        <v>1.7566264497877127</v>
      </c>
      <c r="AA27" s="205">
        <f>ERF(AH27)+ERF(AI27)-1</f>
        <v>0.8924690583912449</v>
      </c>
      <c r="AB27" s="52">
        <f t="shared" si="18"/>
        <v>7</v>
      </c>
      <c r="AC27" s="136">
        <f t="shared" si="24"/>
        <v>10</v>
      </c>
      <c r="AD27" s="137">
        <f t="shared" si="29"/>
        <v>8.9</v>
      </c>
      <c r="AE27" s="199">
        <f t="shared" si="25"/>
        <v>0</v>
      </c>
      <c r="AF27" s="154">
        <f t="shared" si="19"/>
        <v>1.5678205912767027</v>
      </c>
      <c r="AG27" s="177">
        <f>IF(ABS(AF27)&lt;10,SIGN(AF27)*ERF(ABS(AF27)),SIGN(AF27))</f>
        <v>0.9733928342455875</v>
      </c>
      <c r="AH27" s="193">
        <f t="shared" si="20"/>
        <v>1.9808443102963535</v>
      </c>
      <c r="AI27" s="193">
        <f t="shared" si="21"/>
        <v>1.154796872257052</v>
      </c>
    </row>
    <row r="28" spans="1:35" s="26" customFormat="1" ht="15" customHeight="1">
      <c r="A28" s="262">
        <f t="shared" si="26"/>
        <v>10.75</v>
      </c>
      <c r="B28" s="271">
        <f t="shared" si="30"/>
        <v>-57.52837445003649</v>
      </c>
      <c r="C28" s="128">
        <f t="shared" si="31"/>
        <v>0.43389149999999993</v>
      </c>
      <c r="D28" s="143">
        <f t="shared" si="32"/>
        <v>5242.705496962485</v>
      </c>
      <c r="E28" s="143">
        <f t="shared" si="0"/>
        <v>31007.751937984493</v>
      </c>
      <c r="F28" s="105">
        <f t="shared" si="1"/>
        <v>177.9475528429453</v>
      </c>
      <c r="G28" s="105">
        <f t="shared" si="2"/>
        <v>221.3230479701398</v>
      </c>
      <c r="H28" s="50">
        <f t="shared" si="3"/>
        <v>0.2431756799297281</v>
      </c>
      <c r="I28" s="49">
        <f t="shared" si="4"/>
        <v>5.526753189761784</v>
      </c>
      <c r="J28" s="49">
        <f t="shared" si="27"/>
        <v>-0.29366236401152895</v>
      </c>
      <c r="K28" s="49">
        <f t="shared" si="5"/>
        <v>0.0467390503525064</v>
      </c>
      <c r="L28" s="49">
        <f t="shared" si="6"/>
        <v>0.24860661901704084</v>
      </c>
      <c r="M28" s="49">
        <f t="shared" si="22"/>
        <v>0.0015181428372761795</v>
      </c>
      <c r="N28" s="49">
        <f t="shared" si="23"/>
        <v>0.1697080063693035</v>
      </c>
      <c r="O28" s="49">
        <f t="shared" si="7"/>
        <v>0.337320351931903</v>
      </c>
      <c r="P28" s="205">
        <f t="shared" si="8"/>
        <v>5.006190046751059</v>
      </c>
      <c r="Q28" s="49">
        <f t="shared" si="9"/>
        <v>0</v>
      </c>
      <c r="R28" s="197">
        <f t="shared" si="10"/>
        <v>0.2585964755109854</v>
      </c>
      <c r="S28" s="53">
        <f t="shared" si="11"/>
        <v>6.784160322520745</v>
      </c>
      <c r="T28" s="49">
        <f t="shared" si="12"/>
        <v>7.526753189761784</v>
      </c>
      <c r="U28" s="49">
        <f t="shared" si="13"/>
        <v>1.2574071327589609</v>
      </c>
      <c r="V28" s="54">
        <f t="shared" si="14"/>
        <v>0.2158396774792548</v>
      </c>
      <c r="W28" s="97">
        <f t="shared" si="15"/>
        <v>-15.29153971202383</v>
      </c>
      <c r="X28" s="25">
        <f t="shared" si="28"/>
        <v>-0.1760301725305018</v>
      </c>
      <c r="Y28" s="23">
        <f t="shared" si="16"/>
        <v>6.762816496538772</v>
      </c>
      <c r="Z28" s="23">
        <f t="shared" si="17"/>
        <v>1.7566264497877127</v>
      </c>
      <c r="AA28" s="205">
        <f>ERF(AH28)+ERF(AI28)-1</f>
        <v>0.8908873339293728</v>
      </c>
      <c r="AB28" s="52">
        <f t="shared" si="18"/>
        <v>7</v>
      </c>
      <c r="AC28" s="136">
        <f t="shared" si="24"/>
        <v>10</v>
      </c>
      <c r="AD28" s="137">
        <f t="shared" si="29"/>
        <v>8.9</v>
      </c>
      <c r="AE28" s="199">
        <f t="shared" si="25"/>
        <v>0</v>
      </c>
      <c r="AF28" s="154">
        <f t="shared" si="19"/>
        <v>1.5614645171308956</v>
      </c>
      <c r="AG28" s="177">
        <f>IF(ABS(AF28)&lt;10,SIGN(AF28)*ERF(ABS(AF28)),SIGN(AF28))</f>
        <v>0.9727727499038317</v>
      </c>
      <c r="AH28" s="193">
        <f t="shared" si="20"/>
        <v>1.9728138038866303</v>
      </c>
      <c r="AI28" s="193">
        <f t="shared" si="21"/>
        <v>1.1501152303751612</v>
      </c>
    </row>
    <row r="29" spans="1:35" s="26" customFormat="1" ht="15" customHeight="1">
      <c r="A29" s="262">
        <f t="shared" si="26"/>
        <v>11</v>
      </c>
      <c r="B29" s="271">
        <f t="shared" si="30"/>
        <v>-58.86624362329315</v>
      </c>
      <c r="C29" s="128">
        <f t="shared" si="31"/>
        <v>0.44398199999999993</v>
      </c>
      <c r="D29" s="143">
        <f t="shared" si="32"/>
        <v>5123.553099304247</v>
      </c>
      <c r="E29" s="143">
        <f t="shared" si="0"/>
        <v>30303.0303030303</v>
      </c>
      <c r="F29" s="105">
        <f t="shared" si="1"/>
        <v>179.08384122520823</v>
      </c>
      <c r="G29" s="105">
        <f t="shared" si="2"/>
        <v>222.2376704970955</v>
      </c>
      <c r="H29" s="50">
        <f t="shared" si="3"/>
        <v>0.24905479629988794</v>
      </c>
      <c r="I29" s="49">
        <f t="shared" si="4"/>
        <v>5.655282333709733</v>
      </c>
      <c r="J29" s="49">
        <f t="shared" si="27"/>
        <v>-0.30049172131412266</v>
      </c>
      <c r="K29" s="49">
        <f t="shared" si="5"/>
        <v>0.04884050773302908</v>
      </c>
      <c r="L29" s="49">
        <f t="shared" si="6"/>
        <v>0.2729605721199312</v>
      </c>
      <c r="M29" s="49">
        <f t="shared" si="22"/>
        <v>0.0015118948972442153</v>
      </c>
      <c r="N29" s="49">
        <f t="shared" si="23"/>
        <v>0.16898167427238456</v>
      </c>
      <c r="O29" s="49">
        <f t="shared" si="7"/>
        <v>0.35498674827041654</v>
      </c>
      <c r="P29" s="205">
        <f t="shared" si="8"/>
        <v>5.006190046751059</v>
      </c>
      <c r="Q29" s="49">
        <f t="shared" si="9"/>
        <v>0</v>
      </c>
      <c r="R29" s="197">
        <f t="shared" si="10"/>
        <v>0.260624482229294</v>
      </c>
      <c r="S29" s="53">
        <f t="shared" si="11"/>
        <v>6.9618906069016475</v>
      </c>
      <c r="T29" s="49">
        <f t="shared" si="12"/>
        <v>7.655282333709733</v>
      </c>
      <c r="U29" s="49">
        <f t="shared" si="13"/>
        <v>1.3066082731919142</v>
      </c>
      <c r="V29" s="54">
        <f t="shared" si="14"/>
        <v>0.038109393098352484</v>
      </c>
      <c r="W29" s="97">
        <f t="shared" si="15"/>
        <v>-15.422096862690086</v>
      </c>
      <c r="X29" s="25">
        <f t="shared" si="28"/>
        <v>-0.17956304790477073</v>
      </c>
      <c r="Y29" s="23">
        <f t="shared" si="16"/>
        <v>6.762816496538772</v>
      </c>
      <c r="Z29" s="23">
        <f t="shared" si="17"/>
        <v>1.7566264497877127</v>
      </c>
      <c r="AA29" s="205">
        <f>ERF(AH29)+ERF(AI29)-1</f>
        <v>0.8892667867606954</v>
      </c>
      <c r="AB29" s="52">
        <f t="shared" si="18"/>
        <v>7</v>
      </c>
      <c r="AC29" s="136">
        <f t="shared" si="24"/>
        <v>10</v>
      </c>
      <c r="AD29" s="137">
        <f t="shared" si="29"/>
        <v>8.9</v>
      </c>
      <c r="AE29" s="199">
        <f t="shared" si="25"/>
        <v>0</v>
      </c>
      <c r="AF29" s="154">
        <f t="shared" si="19"/>
        <v>1.5550382860638787</v>
      </c>
      <c r="AG29" s="177">
        <f>IF(ABS(AF29)&lt;10,SIGN(AF29)*ERF(ABS(AF29)),SIGN(AF29))</f>
        <v>0.9721331825918891</v>
      </c>
      <c r="AH29" s="193">
        <f t="shared" si="20"/>
        <v>1.964694658547823</v>
      </c>
      <c r="AI29" s="193">
        <f t="shared" si="21"/>
        <v>1.1453819135799344</v>
      </c>
    </row>
    <row r="30" spans="1:35" s="20" customFormat="1" ht="15" customHeight="1">
      <c r="A30" s="261">
        <f t="shared" si="26"/>
        <v>11.25</v>
      </c>
      <c r="B30" s="270">
        <f t="shared" si="30"/>
        <v>-60.204112796549815</v>
      </c>
      <c r="C30" s="127">
        <f t="shared" si="31"/>
        <v>0.45407249999999993</v>
      </c>
      <c r="D30" s="142">
        <f t="shared" si="32"/>
        <v>5009.696363764152</v>
      </c>
      <c r="E30" s="142">
        <f t="shared" si="0"/>
        <v>29629.629629629628</v>
      </c>
      <c r="F30" s="104">
        <f t="shared" si="1"/>
        <v>180.23883886229115</v>
      </c>
      <c r="G30" s="104">
        <f t="shared" si="2"/>
        <v>223.16944018934794</v>
      </c>
      <c r="H30" s="98">
        <f t="shared" si="3"/>
        <v>0.2551234540667841</v>
      </c>
      <c r="I30" s="95">
        <f t="shared" si="4"/>
        <v>5.783811477657682</v>
      </c>
      <c r="J30" s="95">
        <f t="shared" si="27"/>
        <v>-0.30732107861671637</v>
      </c>
      <c r="K30" s="95">
        <f t="shared" si="5"/>
        <v>0.05098146927558928</v>
      </c>
      <c r="L30" s="95">
        <f t="shared" si="6"/>
        <v>0.29917712473911595</v>
      </c>
      <c r="M30" s="95">
        <f t="shared" si="22"/>
        <v>0.0015055824834929058</v>
      </c>
      <c r="N30" s="95">
        <f t="shared" si="23"/>
        <v>0.16824809365203575</v>
      </c>
      <c r="O30" s="95">
        <f t="shared" si="7"/>
        <v>0.37425898191349194</v>
      </c>
      <c r="P30" s="207">
        <f t="shared" si="8"/>
        <v>5.006190046751059</v>
      </c>
      <c r="Q30" s="95">
        <f t="shared" si="9"/>
        <v>0</v>
      </c>
      <c r="R30" s="196">
        <f t="shared" si="10"/>
        <v>0.2626672863011759</v>
      </c>
      <c r="S30" s="96">
        <f t="shared" si="11"/>
        <v>7.143286418330287</v>
      </c>
      <c r="T30" s="95">
        <f t="shared" si="12"/>
        <v>7.783811477657682</v>
      </c>
      <c r="U30" s="95">
        <f t="shared" si="13"/>
        <v>1.3594749406726043</v>
      </c>
      <c r="V30" s="100">
        <f t="shared" si="14"/>
        <v>-0.14328641833028666</v>
      </c>
      <c r="W30" s="101">
        <f t="shared" si="15"/>
        <v>-15.552668810709918</v>
      </c>
      <c r="X30" s="27">
        <f t="shared" si="28"/>
        <v>-0.18337660227203445</v>
      </c>
      <c r="Y30" s="18">
        <f t="shared" si="16"/>
        <v>6.762816496538772</v>
      </c>
      <c r="Z30" s="18">
        <f t="shared" si="17"/>
        <v>1.7566264497877127</v>
      </c>
      <c r="AA30" s="207">
        <f>ERF(AH30)+ERF(AI30)-1</f>
        <v>0.8876074238442517</v>
      </c>
      <c r="AB30" s="99">
        <f t="shared" si="18"/>
        <v>7</v>
      </c>
      <c r="AC30" s="183">
        <f t="shared" si="24"/>
        <v>10</v>
      </c>
      <c r="AD30" s="184">
        <f t="shared" si="29"/>
        <v>8.9</v>
      </c>
      <c r="AE30" s="198">
        <f t="shared" si="25"/>
        <v>0</v>
      </c>
      <c r="AF30" s="153">
        <f t="shared" si="19"/>
        <v>1.548545741457336</v>
      </c>
      <c r="AG30" s="176">
        <f>IF(ABS(AF30)&lt;10,SIGN(AF30)*ERF(ABS(AF30)),SIGN(AF30))</f>
        <v>0.9714739032575592</v>
      </c>
      <c r="AH30" s="191">
        <f t="shared" si="20"/>
        <v>1.9564917301548859</v>
      </c>
      <c r="AI30" s="191">
        <f t="shared" si="21"/>
        <v>1.1405997527597864</v>
      </c>
    </row>
    <row r="31" spans="1:35" s="26" customFormat="1" ht="15" customHeight="1">
      <c r="A31" s="262">
        <f t="shared" si="26"/>
        <v>11.5</v>
      </c>
      <c r="B31" s="271">
        <f t="shared" si="30"/>
        <v>-61.54198196980648</v>
      </c>
      <c r="C31" s="128">
        <f t="shared" si="31"/>
        <v>0.46416299999999994</v>
      </c>
      <c r="D31" s="143">
        <f t="shared" si="32"/>
        <v>4900.789921073627</v>
      </c>
      <c r="E31" s="143">
        <f t="shared" si="0"/>
        <v>28985.50724637681</v>
      </c>
      <c r="F31" s="105">
        <f t="shared" si="1"/>
        <v>181.41218840570463</v>
      </c>
      <c r="G31" s="105">
        <f t="shared" si="2"/>
        <v>224.11814317932152</v>
      </c>
      <c r="H31" s="50">
        <f t="shared" si="3"/>
        <v>0.2613844914205588</v>
      </c>
      <c r="I31" s="49">
        <f t="shared" si="4"/>
        <v>5.9123406216056305</v>
      </c>
      <c r="J31" s="49">
        <f t="shared" si="27"/>
        <v>-0.3141504359193101</v>
      </c>
      <c r="K31" s="49">
        <f t="shared" si="5"/>
        <v>0.05316137276646997</v>
      </c>
      <c r="L31" s="49">
        <f t="shared" si="6"/>
        <v>0.32737708386967873</v>
      </c>
      <c r="M31" s="49">
        <f t="shared" si="22"/>
        <v>0.0014992092796840618</v>
      </c>
      <c r="N31" s="49">
        <f t="shared" si="23"/>
        <v>0.1675076998032751</v>
      </c>
      <c r="O31" s="49">
        <f t="shared" si="7"/>
        <v>0.39531082969783593</v>
      </c>
      <c r="P31" s="205">
        <f t="shared" si="8"/>
        <v>5.006190046751059</v>
      </c>
      <c r="Q31" s="49">
        <f t="shared" si="9"/>
        <v>0</v>
      </c>
      <c r="R31" s="197">
        <f t="shared" si="10"/>
        <v>0.26472308504873715</v>
      </c>
      <c r="S31" s="53">
        <f t="shared" si="11"/>
        <v>7.328643811445716</v>
      </c>
      <c r="T31" s="49">
        <f t="shared" si="12"/>
        <v>7.9123406216056305</v>
      </c>
      <c r="U31" s="49">
        <f t="shared" si="13"/>
        <v>1.416303189840086</v>
      </c>
      <c r="V31" s="54">
        <f t="shared" si="14"/>
        <v>-0.3286438114457164</v>
      </c>
      <c r="W31" s="97">
        <f t="shared" si="15"/>
        <v>-15.683253753405427</v>
      </c>
      <c r="X31" s="25">
        <f t="shared" si="28"/>
        <v>-0.18750430953401542</v>
      </c>
      <c r="Y31" s="23">
        <f t="shared" si="16"/>
        <v>6.762816496538772</v>
      </c>
      <c r="Z31" s="23">
        <f t="shared" si="17"/>
        <v>1.7566264497877127</v>
      </c>
      <c r="AA31" s="205">
        <f>ERF(AH31)+ERF(AI31)-1</f>
        <v>0.8859092623767268</v>
      </c>
      <c r="AB31" s="52">
        <f t="shared" si="18"/>
        <v>7</v>
      </c>
      <c r="AC31" s="136">
        <f t="shared" si="24"/>
        <v>10</v>
      </c>
      <c r="AD31" s="137">
        <f t="shared" si="29"/>
        <v>8.9</v>
      </c>
      <c r="AE31" s="199">
        <f t="shared" si="25"/>
        <v>0</v>
      </c>
      <c r="AF31" s="154">
        <f t="shared" si="19"/>
        <v>1.5419906720899446</v>
      </c>
      <c r="AG31" s="177">
        <f>IF(ABS(AF31)&lt;10,SIGN(AF31)*ERF(ABS(AF31)),SIGN(AF31))</f>
        <v>0.9707946892588705</v>
      </c>
      <c r="AH31" s="193">
        <f t="shared" si="20"/>
        <v>1.9482098055952513</v>
      </c>
      <c r="AI31" s="193">
        <f t="shared" si="21"/>
        <v>1.1357715385846379</v>
      </c>
    </row>
    <row r="32" spans="1:35" s="26" customFormat="1" ht="15" customHeight="1">
      <c r="A32" s="262">
        <f t="shared" si="26"/>
        <v>11.75</v>
      </c>
      <c r="B32" s="271">
        <f t="shared" si="30"/>
        <v>-62.87985114306314</v>
      </c>
      <c r="C32" s="128">
        <f t="shared" si="31"/>
        <v>0.47425349999999994</v>
      </c>
      <c r="D32" s="143">
        <f t="shared" si="32"/>
        <v>4796.517795093337</v>
      </c>
      <c r="E32" s="143">
        <f t="shared" si="0"/>
        <v>28368.79432624113</v>
      </c>
      <c r="F32" s="105">
        <f t="shared" si="1"/>
        <v>182.60353608606647</v>
      </c>
      <c r="G32" s="105">
        <f t="shared" si="2"/>
        <v>225.08356535103886</v>
      </c>
      <c r="H32" s="50">
        <f t="shared" si="3"/>
        <v>0.267840721610231</v>
      </c>
      <c r="I32" s="49">
        <f t="shared" si="4"/>
        <v>6.040869765553579</v>
      </c>
      <c r="J32" s="49">
        <f t="shared" si="27"/>
        <v>-0.3209797932219038</v>
      </c>
      <c r="K32" s="49">
        <f t="shared" si="5"/>
        <v>0.05537964747279546</v>
      </c>
      <c r="L32" s="49">
        <f t="shared" si="6"/>
        <v>0.35769099167129564</v>
      </c>
      <c r="M32" s="49">
        <f t="shared" si="22"/>
        <v>0.0014927789129160834</v>
      </c>
      <c r="N32" s="49">
        <f t="shared" si="23"/>
        <v>0.16676092093172654</v>
      </c>
      <c r="O32" s="49">
        <f t="shared" si="7"/>
        <v>0.41834255564661993</v>
      </c>
      <c r="P32" s="205">
        <f t="shared" si="8"/>
        <v>5.006190046751059</v>
      </c>
      <c r="Q32" s="49">
        <f t="shared" si="9"/>
        <v>0</v>
      </c>
      <c r="R32" s="197">
        <f t="shared" si="10"/>
        <v>0.26679008198486576</v>
      </c>
      <c r="S32" s="53">
        <f t="shared" si="11"/>
        <v>7.5182950373983175</v>
      </c>
      <c r="T32" s="49">
        <f t="shared" si="12"/>
        <v>8.040869765553579</v>
      </c>
      <c r="U32" s="49">
        <f t="shared" si="13"/>
        <v>1.477425271844739</v>
      </c>
      <c r="V32" s="54">
        <f t="shared" si="14"/>
        <v>-0.5182950373983175</v>
      </c>
      <c r="W32" s="97">
        <f t="shared" si="15"/>
        <v>-15.813849894289504</v>
      </c>
      <c r="X32" s="25">
        <f t="shared" si="28"/>
        <v>-0.19198571165350353</v>
      </c>
      <c r="Y32" s="23">
        <f t="shared" si="16"/>
        <v>6.762816496538772</v>
      </c>
      <c r="Z32" s="23">
        <f t="shared" si="17"/>
        <v>1.7566264497877127</v>
      </c>
      <c r="AA32" s="205">
        <f>ERF(AH32)+ERF(AI32)-1</f>
        <v>0.8841723300382254</v>
      </c>
      <c r="AB32" s="52">
        <f t="shared" si="18"/>
        <v>7</v>
      </c>
      <c r="AC32" s="136">
        <f t="shared" si="24"/>
        <v>10</v>
      </c>
      <c r="AD32" s="137">
        <f t="shared" si="29"/>
        <v>8.9</v>
      </c>
      <c r="AE32" s="199">
        <f t="shared" si="25"/>
        <v>0</v>
      </c>
      <c r="AF32" s="154">
        <f t="shared" si="19"/>
        <v>1.5353768085628796</v>
      </c>
      <c r="AG32" s="177">
        <f>IF(ABS(AF32)&lt;10,SIGN(AF32)*ERF(ABS(AF32)),SIGN(AF32))</f>
        <v>0.9700953249278524</v>
      </c>
      <c r="AH32" s="193">
        <f t="shared" si="20"/>
        <v>1.9398535982526786</v>
      </c>
      <c r="AI32" s="193">
        <f t="shared" si="21"/>
        <v>1.1309000188730807</v>
      </c>
    </row>
    <row r="33" spans="1:35" s="26" customFormat="1" ht="15" customHeight="1">
      <c r="A33" s="262">
        <f t="shared" si="26"/>
        <v>12</v>
      </c>
      <c r="B33" s="271">
        <f t="shared" si="30"/>
        <v>-64.2177203163198</v>
      </c>
      <c r="C33" s="128">
        <f t="shared" si="31"/>
        <v>0.48434399999999994</v>
      </c>
      <c r="D33" s="143">
        <f t="shared" si="32"/>
        <v>4696.590341028892</v>
      </c>
      <c r="E33" s="143">
        <f t="shared" si="0"/>
        <v>27777.777777777777</v>
      </c>
      <c r="F33" s="105">
        <f t="shared" si="1"/>
        <v>183.8125319487016</v>
      </c>
      <c r="G33" s="105">
        <f t="shared" si="2"/>
        <v>226.0654925046997</v>
      </c>
      <c r="H33" s="50">
        <f t="shared" si="3"/>
        <v>0.2744949287190142</v>
      </c>
      <c r="I33" s="49">
        <f t="shared" si="4"/>
        <v>6.169398909501528</v>
      </c>
      <c r="J33" s="49">
        <f t="shared" si="27"/>
        <v>-0.32780915052449744</v>
      </c>
      <c r="K33" s="49">
        <f t="shared" si="5"/>
        <v>0.05763571439109755</v>
      </c>
      <c r="L33" s="49">
        <f t="shared" si="6"/>
        <v>0.3902604056100816</v>
      </c>
      <c r="M33" s="49">
        <f t="shared" si="22"/>
        <v>0.0014862949505352516</v>
      </c>
      <c r="N33" s="49">
        <f t="shared" si="23"/>
        <v>0.1660081777821657</v>
      </c>
      <c r="O33" s="49">
        <f t="shared" si="7"/>
        <v>0.4435863231980247</v>
      </c>
      <c r="P33" s="205">
        <f t="shared" si="8"/>
        <v>5.006190046751059</v>
      </c>
      <c r="Q33" s="49">
        <f t="shared" si="9"/>
        <v>0</v>
      </c>
      <c r="R33" s="197">
        <f t="shared" si="10"/>
        <v>0.2688664899419099</v>
      </c>
      <c r="S33" s="53">
        <f t="shared" si="11"/>
        <v>7.7126152347527235</v>
      </c>
      <c r="T33" s="49">
        <f t="shared" si="12"/>
        <v>8.169398909501528</v>
      </c>
      <c r="U33" s="49">
        <f t="shared" si="13"/>
        <v>1.543216325251196</v>
      </c>
      <c r="V33" s="54">
        <f t="shared" si="14"/>
        <v>-0.7126152347527235</v>
      </c>
      <c r="W33" s="97">
        <f t="shared" si="15"/>
        <v>-15.944455446194496</v>
      </c>
      <c r="X33" s="25">
        <f t="shared" si="28"/>
        <v>-0.19686784076351138</v>
      </c>
      <c r="Y33" s="23">
        <f t="shared" si="16"/>
        <v>6.762816496538772</v>
      </c>
      <c r="Z33" s="23">
        <f t="shared" si="17"/>
        <v>1.7566264497877127</v>
      </c>
      <c r="AA33" s="205">
        <f>ERF(AH33)+ERF(AI33)-1</f>
        <v>0.8823966652147821</v>
      </c>
      <c r="AB33" s="52">
        <f t="shared" si="18"/>
        <v>7</v>
      </c>
      <c r="AC33" s="136">
        <f t="shared" si="24"/>
        <v>10</v>
      </c>
      <c r="AD33" s="137">
        <f t="shared" si="29"/>
        <v>8.9</v>
      </c>
      <c r="AE33" s="199">
        <f t="shared" si="25"/>
        <v>0</v>
      </c>
      <c r="AF33" s="154">
        <f t="shared" si="19"/>
        <v>1.5287078200201116</v>
      </c>
      <c r="AG33" s="177">
        <f>IF(ABS(AF33)&lt;10,SIGN(AF33)*ERF(ABS(AF33)),SIGN(AF33))</f>
        <v>0.9693756021177838</v>
      </c>
      <c r="AH33" s="193">
        <f t="shared" si="20"/>
        <v>1.931427743863551</v>
      </c>
      <c r="AI33" s="193">
        <f t="shared" si="21"/>
        <v>1.1259878961766725</v>
      </c>
    </row>
    <row r="34" spans="1:35" s="26" customFormat="1" ht="15" customHeight="1">
      <c r="A34" s="262">
        <f t="shared" si="26"/>
        <v>12.25</v>
      </c>
      <c r="B34" s="271">
        <f t="shared" si="30"/>
        <v>-65.55558948957646</v>
      </c>
      <c r="C34" s="128">
        <f t="shared" si="31"/>
        <v>0.49443449999999994</v>
      </c>
      <c r="D34" s="143">
        <f t="shared" si="32"/>
        <v>4600.741558558915</v>
      </c>
      <c r="E34" s="143">
        <f t="shared" si="0"/>
        <v>27210.884353741494</v>
      </c>
      <c r="F34" s="105">
        <f t="shared" si="1"/>
        <v>185.0388300679565</v>
      </c>
      <c r="G34" s="105">
        <f t="shared" si="2"/>
        <v>227.06371051517255</v>
      </c>
      <c r="H34" s="50">
        <f t="shared" si="3"/>
        <v>0.2813498635542524</v>
      </c>
      <c r="I34" s="49">
        <f t="shared" si="4"/>
        <v>6.297928053449476</v>
      </c>
      <c r="J34" s="49">
        <f t="shared" si="27"/>
        <v>-0.33463850782709115</v>
      </c>
      <c r="K34" s="49">
        <f t="shared" si="5"/>
        <v>0.05992898649866588</v>
      </c>
      <c r="L34" s="49">
        <f t="shared" si="6"/>
        <v>0.4252393931084072</v>
      </c>
      <c r="M34" s="49">
        <f t="shared" si="22"/>
        <v>0.001479760897228658</v>
      </c>
      <c r="N34" s="49">
        <f t="shared" si="23"/>
        <v>0.16524988330166707</v>
      </c>
      <c r="O34" s="49">
        <f t="shared" si="7"/>
        <v>0.47131299371758767</v>
      </c>
      <c r="P34" s="205">
        <f t="shared" si="8"/>
        <v>5.006190046751059</v>
      </c>
      <c r="Q34" s="49">
        <f t="shared" si="9"/>
        <v>0</v>
      </c>
      <c r="R34" s="197">
        <f t="shared" si="10"/>
        <v>0.2709505317939501</v>
      </c>
      <c r="S34" s="53">
        <f t="shared" si="11"/>
        <v>7.91203071892534</v>
      </c>
      <c r="T34" s="49">
        <f t="shared" si="12"/>
        <v>8.297928053449475</v>
      </c>
      <c r="U34" s="49">
        <f t="shared" si="13"/>
        <v>1.6141026654758646</v>
      </c>
      <c r="V34" s="54">
        <f t="shared" si="14"/>
        <v>-0.9120307189253403</v>
      </c>
      <c r="W34" s="97">
        <f t="shared" si="15"/>
        <v>-16.075068631994483</v>
      </c>
      <c r="X34" s="25">
        <f t="shared" si="28"/>
        <v>-0.2022070693496012</v>
      </c>
      <c r="Y34" s="23">
        <f t="shared" si="16"/>
        <v>6.762816496538772</v>
      </c>
      <c r="Z34" s="23">
        <f t="shared" si="17"/>
        <v>1.7566264497877127</v>
      </c>
      <c r="AA34" s="205">
        <f>ERF(AH34)+ERF(AI34)-1</f>
        <v>0.8805823176785754</v>
      </c>
      <c r="AB34" s="52">
        <f t="shared" si="18"/>
        <v>7</v>
      </c>
      <c r="AC34" s="136">
        <f t="shared" si="24"/>
        <v>10</v>
      </c>
      <c r="AD34" s="137">
        <f t="shared" si="29"/>
        <v>8.9</v>
      </c>
      <c r="AE34" s="199">
        <f t="shared" si="25"/>
        <v>0</v>
      </c>
      <c r="AF34" s="154">
        <f t="shared" si="19"/>
        <v>1.5219873111583806</v>
      </c>
      <c r="AG34" s="177">
        <f>IF(ABS(AF34)&lt;10,SIGN(AF34)*ERF(ABS(AF34)),SIGN(AF34))</f>
        <v>0.9686353207322432</v>
      </c>
      <c r="AH34" s="193">
        <f t="shared" si="20"/>
        <v>1.9229367967391637</v>
      </c>
      <c r="AI34" s="193">
        <f t="shared" si="21"/>
        <v>1.121037825577598</v>
      </c>
    </row>
    <row r="35" spans="1:35" s="78" customFormat="1" ht="15" customHeight="1">
      <c r="A35" s="263">
        <f t="shared" si="26"/>
        <v>12.5</v>
      </c>
      <c r="B35" s="272">
        <f>A35*$B$3</f>
        <v>-66.89345866283313</v>
      </c>
      <c r="C35" s="129">
        <f>A35*$Z$4</f>
        <v>0.5045249999999999</v>
      </c>
      <c r="D35" s="144">
        <f t="shared" si="32"/>
        <v>4508.726727387737</v>
      </c>
      <c r="E35" s="144">
        <f t="shared" si="0"/>
        <v>26666.666666666664</v>
      </c>
      <c r="F35" s="106">
        <f t="shared" si="1"/>
        <v>186.28208874100667</v>
      </c>
      <c r="G35" s="106">
        <f t="shared" si="2"/>
        <v>228.07800548433485</v>
      </c>
      <c r="H35" s="75">
        <f t="shared" si="3"/>
        <v>0.28840823966310114</v>
      </c>
      <c r="I35" s="74">
        <f t="shared" si="4"/>
        <v>6.426457197397424</v>
      </c>
      <c r="J35" s="74">
        <f t="shared" si="27"/>
        <v>-0.3414678651296848</v>
      </c>
      <c r="K35" s="74">
        <f t="shared" si="5"/>
        <v>0.0622588690075307</v>
      </c>
      <c r="L35" s="74">
        <f t="shared" si="6"/>
        <v>0.46279628430985903</v>
      </c>
      <c r="M35" s="74">
        <f t="shared" si="22"/>
        <v>0.0014731801923928943</v>
      </c>
      <c r="N35" s="74">
        <f t="shared" si="23"/>
        <v>0.1644864423365275</v>
      </c>
      <c r="O35" s="74">
        <f t="shared" si="7"/>
        <v>0.5018407570086003</v>
      </c>
      <c r="P35" s="155">
        <f t="shared" si="8"/>
        <v>5.006190046751059</v>
      </c>
      <c r="Q35" s="74">
        <f t="shared" si="9"/>
        <v>0</v>
      </c>
      <c r="R35" s="195">
        <f t="shared" si="10"/>
        <v>0.2730404527364134</v>
      </c>
      <c r="S35" s="96">
        <f t="shared" si="11"/>
        <v>8.117029373451926</v>
      </c>
      <c r="T35" s="74">
        <f t="shared" si="12"/>
        <v>8.426457197397424</v>
      </c>
      <c r="U35" s="74">
        <f t="shared" si="13"/>
        <v>1.690572176054502</v>
      </c>
      <c r="V35" s="100">
        <f t="shared" si="14"/>
        <v>-1.1170293734519259</v>
      </c>
      <c r="W35" s="101">
        <f t="shared" si="15"/>
        <v>-16.205687696884898</v>
      </c>
      <c r="X35" s="77"/>
      <c r="Y35" s="74">
        <f t="shared" si="16"/>
        <v>6.762816496538772</v>
      </c>
      <c r="Z35" s="74">
        <f t="shared" si="17"/>
        <v>1.7566264497877127</v>
      </c>
      <c r="AA35" s="155">
        <f>ERF(AH35)+ERF(AI35)-1</f>
        <v>0.8787293468911657</v>
      </c>
      <c r="AB35" s="76">
        <f t="shared" si="18"/>
        <v>7</v>
      </c>
      <c r="AC35" s="186">
        <f t="shared" si="24"/>
        <v>10</v>
      </c>
      <c r="AD35" s="187">
        <f>ROUNDUP(E10,0)-0.1</f>
        <v>8.9</v>
      </c>
      <c r="AE35" s="200">
        <f t="shared" si="25"/>
        <v>0</v>
      </c>
      <c r="AF35" s="155">
        <f t="shared" si="19"/>
        <v>1.5152188195207998</v>
      </c>
      <c r="AG35" s="179">
        <f>IF(ABS(AF35)&lt;10,SIGN(AF35)*ERF(ABS(AF35)),SIGN(AF35))</f>
        <v>0.9678742892343664</v>
      </c>
      <c r="AH35" s="190">
        <f t="shared" si="20"/>
        <v>1.9143852263463597</v>
      </c>
      <c r="AI35" s="190">
        <f t="shared" si="21"/>
        <v>1.1160524126952402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5"/>
      <c r="S36" s="13"/>
      <c r="U36" s="13"/>
      <c r="V36" s="13"/>
      <c r="W36" s="14"/>
      <c r="AA36" s="5"/>
      <c r="AB36" s="6"/>
      <c r="AE36" s="201">
        <f>SUM(AE15:AE35)</f>
        <v>0.7295625693254122</v>
      </c>
    </row>
    <row r="37" spans="1:27" s="26" customFormat="1" ht="15" customHeight="1">
      <c r="A37" s="79" t="s">
        <v>60</v>
      </c>
      <c r="B37" s="22"/>
      <c r="C37" s="22"/>
      <c r="D37" s="21"/>
      <c r="E37" s="22"/>
      <c r="F37" s="22"/>
      <c r="G37" s="28"/>
      <c r="W37" s="31"/>
      <c r="X37" s="31"/>
      <c r="AA37" s="158"/>
    </row>
    <row r="38" spans="1:28" s="26" customFormat="1" ht="15" customHeight="1">
      <c r="A38" s="29" t="s">
        <v>108</v>
      </c>
      <c r="B38" s="22"/>
      <c r="C38" s="22"/>
      <c r="D38" s="21"/>
      <c r="E38" s="22"/>
      <c r="F38" s="22"/>
      <c r="G38" s="28"/>
      <c r="K38" s="23"/>
      <c r="L38" s="22"/>
      <c r="M38" s="23"/>
      <c r="N38" s="23"/>
      <c r="O38" s="23"/>
      <c r="P38" s="23"/>
      <c r="Q38" s="23"/>
      <c r="R38" s="59"/>
      <c r="S38" s="23"/>
      <c r="T38" s="30"/>
      <c r="U38" s="23"/>
      <c r="W38" s="31"/>
      <c r="X38" s="31"/>
      <c r="AA38" s="158"/>
      <c r="AB38" s="24"/>
    </row>
    <row r="39" spans="1:28" s="26" customFormat="1" ht="15" customHeight="1">
      <c r="A39" s="23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22"/>
      <c r="M39" s="23"/>
      <c r="N39" s="23"/>
      <c r="O39" s="23"/>
      <c r="P39" s="23"/>
      <c r="Q39" s="23"/>
      <c r="R39" s="59"/>
      <c r="S39" s="23"/>
      <c r="T39" s="30"/>
      <c r="U39" s="23"/>
      <c r="W39" s="31"/>
      <c r="X39" s="31"/>
      <c r="AA39" s="158"/>
      <c r="AB39" s="24"/>
    </row>
    <row r="40" spans="1:28" s="26" customFormat="1" ht="15" customHeight="1">
      <c r="A40" s="29"/>
      <c r="B40" s="164" t="s">
        <v>191</v>
      </c>
      <c r="C40" s="22"/>
      <c r="D40" s="21"/>
      <c r="E40" s="22"/>
      <c r="F40" s="22"/>
      <c r="G40" s="28"/>
      <c r="H40" s="23"/>
      <c r="I40" s="23"/>
      <c r="J40" s="23"/>
      <c r="K40" s="23"/>
      <c r="L40" s="22"/>
      <c r="M40" s="23"/>
      <c r="N40" s="23"/>
      <c r="O40" s="23"/>
      <c r="P40" s="23"/>
      <c r="Q40" s="23"/>
      <c r="R40" s="59"/>
      <c r="S40" s="23"/>
      <c r="T40" s="30"/>
      <c r="U40" s="23"/>
      <c r="W40" s="31"/>
      <c r="X40" s="31"/>
      <c r="AA40" s="158"/>
      <c r="AB40" s="24"/>
    </row>
    <row r="41" spans="2:28" s="26" customFormat="1" ht="15" customHeight="1">
      <c r="B41" s="29"/>
      <c r="C41" s="22"/>
      <c r="D41" s="21"/>
      <c r="E41" s="22"/>
      <c r="F41" s="22"/>
      <c r="G41" s="28"/>
      <c r="H41" s="23"/>
      <c r="I41" s="23"/>
      <c r="J41" s="23"/>
      <c r="K41" s="23"/>
      <c r="L41" s="22"/>
      <c r="M41" s="23"/>
      <c r="N41" s="23"/>
      <c r="O41" s="23"/>
      <c r="P41" s="23"/>
      <c r="Q41" s="23"/>
      <c r="R41" s="59"/>
      <c r="S41" s="23"/>
      <c r="T41" s="30"/>
      <c r="U41" s="23"/>
      <c r="W41" s="31"/>
      <c r="X41" s="31"/>
      <c r="AA41" s="158"/>
      <c r="AB41" s="24"/>
    </row>
    <row r="42" spans="1:28" s="26" customFormat="1" ht="15" customHeight="1">
      <c r="A42" s="24"/>
      <c r="B42" s="29"/>
      <c r="C42" s="22"/>
      <c r="D42" s="21"/>
      <c r="E42" s="22"/>
      <c r="F42" s="22"/>
      <c r="G42" s="28"/>
      <c r="H42" s="23"/>
      <c r="I42" s="23"/>
      <c r="J42" s="23"/>
      <c r="K42" s="23"/>
      <c r="L42" s="22"/>
      <c r="M42" s="23"/>
      <c r="N42" s="23"/>
      <c r="O42" s="23"/>
      <c r="P42" s="23"/>
      <c r="Q42" s="23"/>
      <c r="R42" s="59"/>
      <c r="S42" s="23"/>
      <c r="T42" s="30"/>
      <c r="U42" s="23"/>
      <c r="W42" s="31"/>
      <c r="X42" s="31"/>
      <c r="AA42" s="158"/>
      <c r="AB42" s="24"/>
    </row>
    <row r="43" spans="1:28" s="26" customFormat="1" ht="15" customHeight="1">
      <c r="A43" s="28"/>
      <c r="D43" s="21"/>
      <c r="E43" s="22"/>
      <c r="F43" s="22"/>
      <c r="G43" s="28"/>
      <c r="H43" s="23"/>
      <c r="I43" s="23"/>
      <c r="J43" s="23"/>
      <c r="K43" s="23"/>
      <c r="L43" s="22"/>
      <c r="M43" s="23"/>
      <c r="N43" s="23"/>
      <c r="O43" s="23"/>
      <c r="P43" s="23"/>
      <c r="Q43" s="23"/>
      <c r="R43" s="59"/>
      <c r="S43" s="23"/>
      <c r="T43" s="30"/>
      <c r="U43" s="23"/>
      <c r="W43" s="31"/>
      <c r="X43" s="31"/>
      <c r="AA43" s="158"/>
      <c r="AB43" s="24"/>
    </row>
    <row r="44" spans="1:28" s="26" customFormat="1" ht="15" customHeight="1">
      <c r="A44" s="28"/>
      <c r="B44" s="22"/>
      <c r="D44" s="21"/>
      <c r="E44" s="22"/>
      <c r="F44" s="22"/>
      <c r="G44" s="28"/>
      <c r="H44" s="23"/>
      <c r="I44" s="23"/>
      <c r="J44" s="23"/>
      <c r="K44" s="23"/>
      <c r="L44" s="22"/>
      <c r="M44" s="23"/>
      <c r="N44" s="23"/>
      <c r="O44" s="23"/>
      <c r="P44" s="23"/>
      <c r="Q44" s="23"/>
      <c r="R44" s="59"/>
      <c r="S44" s="23"/>
      <c r="T44" s="30"/>
      <c r="U44" s="23"/>
      <c r="W44" s="31"/>
      <c r="X44" s="31"/>
      <c r="AA44" s="158"/>
      <c r="AB44" s="24"/>
    </row>
    <row r="45" spans="1:28" s="26" customFormat="1" ht="15" customHeight="1">
      <c r="A45" s="28"/>
      <c r="B45" s="22"/>
      <c r="D45" s="21"/>
      <c r="E45" s="22"/>
      <c r="F45" s="22"/>
      <c r="G45" s="28"/>
      <c r="H45" s="23"/>
      <c r="I45" s="23"/>
      <c r="J45" s="23"/>
      <c r="K45" s="23"/>
      <c r="L45" s="22"/>
      <c r="M45" s="23"/>
      <c r="N45" s="23"/>
      <c r="O45" s="23"/>
      <c r="P45" s="23"/>
      <c r="Q45" s="23"/>
      <c r="R45" s="59"/>
      <c r="S45" s="23"/>
      <c r="T45" s="30"/>
      <c r="U45" s="23"/>
      <c r="W45" s="31"/>
      <c r="X45" s="31"/>
      <c r="AA45" s="158"/>
      <c r="AB45" s="24"/>
    </row>
    <row r="46" spans="1:28" ht="15" customHeight="1">
      <c r="A46" s="28"/>
      <c r="B46" s="22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5"/>
      <c r="S46" s="4"/>
      <c r="U46" s="4"/>
      <c r="AB46" s="6"/>
    </row>
    <row r="47" spans="1:28" ht="15" customHeight="1">
      <c r="A47" s="2"/>
      <c r="B47" s="22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5"/>
      <c r="S47" s="4"/>
      <c r="U47" s="4"/>
      <c r="AB47" s="6"/>
    </row>
    <row r="48" spans="1:28" ht="15" customHeight="1">
      <c r="A48" s="2"/>
      <c r="B48" s="22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0"/>
      <c r="S48" s="4"/>
      <c r="U48" s="4"/>
      <c r="AB48" s="6"/>
    </row>
    <row r="49" spans="1:28" ht="15" customHeight="1">
      <c r="A49" s="24"/>
      <c r="B49" s="22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5"/>
      <c r="S49" s="4"/>
      <c r="U49" s="4"/>
      <c r="AB49" s="6"/>
    </row>
    <row r="50" spans="1:16" ht="15" customHeight="1">
      <c r="A50" s="15"/>
      <c r="B50" s="14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4"/>
      <c r="B51" s="14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4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V2:W2"/>
  </mergeCells>
  <printOptions horizontalCentered="1"/>
  <pageMargins left="0.5" right="0.5" top="0.5" bottom="0.6" header="0.3" footer="0.4"/>
  <pageSetup fitToHeight="1" fitToWidth="1" horizontalDpi="600" verticalDpi="600" orientation="landscape" scale="69" r:id="rId2"/>
  <headerFooter alignWithMargins="0">
    <oddHeader xml:space="preserve">&amp;CSpreadsheet by Agilent Technologies&amp;R </oddHeader>
    <oddFooter>&amp;L&amp;F tab &amp;A page &amp;P of &amp;N&amp;RPrinted &amp;T 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showGridLines="0" showOutlineSymbols="0" zoomScale="70" zoomScaleNormal="70" workbookViewId="0" topLeftCell="A1">
      <selection activeCell="T1" sqref="T1"/>
    </sheetView>
  </sheetViews>
  <sheetFormatPr defaultColWidth="9.140625" defaultRowHeight="12.75"/>
  <cols>
    <col min="1" max="1" width="13.28125" style="5" customWidth="1"/>
    <col min="2" max="2" width="7.7109375" style="5" customWidth="1"/>
    <col min="3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6" customWidth="1"/>
    <col min="19" max="19" width="6.57421875" style="5" customWidth="1"/>
    <col min="20" max="20" width="7.28125" style="7" customWidth="1"/>
    <col min="21" max="21" width="7.421875" style="5" customWidth="1"/>
    <col min="22" max="22" width="7.7109375" style="5" customWidth="1"/>
    <col min="23" max="23" width="11.140625" style="10" customWidth="1"/>
    <col min="24" max="24" width="8.8515625" style="10" customWidth="1"/>
    <col min="25" max="25" width="8.140625" style="5" customWidth="1"/>
    <col min="26" max="26" width="7.57421875" style="5" customWidth="1"/>
    <col min="27" max="27" width="10.00390625" style="157" customWidth="1"/>
    <col min="28" max="28" width="6.00390625" style="5" customWidth="1"/>
    <col min="29" max="29" width="6.7109375" style="5" customWidth="1"/>
    <col min="30" max="30" width="7.140625" style="5" customWidth="1"/>
    <col min="31" max="32" width="10.00390625" style="5" customWidth="1"/>
    <col min="33" max="16384" width="11.140625" style="5" customWidth="1"/>
  </cols>
  <sheetData>
    <row r="1" spans="1:32" s="126" customFormat="1" ht="15">
      <c r="A1" s="123" t="s">
        <v>109</v>
      </c>
      <c r="B1" s="110"/>
      <c r="C1" s="110"/>
      <c r="D1" s="110"/>
      <c r="E1" s="114"/>
      <c r="F1" s="114"/>
      <c r="G1" s="114"/>
      <c r="H1" s="114"/>
      <c r="I1" s="114"/>
      <c r="J1" s="114"/>
      <c r="K1" s="114"/>
      <c r="L1" s="124" t="s">
        <v>66</v>
      </c>
      <c r="M1" s="110" t="s">
        <v>129</v>
      </c>
      <c r="N1" s="114"/>
      <c r="O1" s="131" t="s">
        <v>51</v>
      </c>
      <c r="P1" s="277" t="s">
        <v>1</v>
      </c>
      <c r="Q1" s="276" t="str">
        <f>Notes!G1</f>
        <v>1.0.0</v>
      </c>
      <c r="R1" s="217"/>
      <c r="S1" s="222" t="s">
        <v>130</v>
      </c>
      <c r="T1" s="221" t="str">
        <f>Notes!A1</f>
        <v>10GEPBud2_4_1.xls</v>
      </c>
      <c r="U1" s="217"/>
      <c r="V1" s="214"/>
      <c r="W1" s="241">
        <f>Notes!E1</f>
        <v>36879</v>
      </c>
      <c r="AB1" s="217"/>
      <c r="AC1" s="51"/>
      <c r="AD1" s="51"/>
      <c r="AE1" s="51"/>
      <c r="AF1" s="51"/>
    </row>
    <row r="2" spans="1:32" ht="15.75">
      <c r="A2" s="62" t="s">
        <v>2</v>
      </c>
      <c r="B2" s="118" t="s">
        <v>3</v>
      </c>
      <c r="C2" s="73"/>
      <c r="D2" s="65" t="str">
        <f>IF(O1="SMF","PolMD DGDmax","")</f>
        <v>PolMD DGDmax</v>
      </c>
      <c r="E2" s="238">
        <v>10</v>
      </c>
      <c r="F2" s="73" t="str">
        <f>IF(O1="SMF","ps at target "&amp;J2&amp;K2,"")</f>
        <v>ps at target 10km</v>
      </c>
      <c r="G2" s="62"/>
      <c r="H2" s="61"/>
      <c r="I2" s="65" t="s">
        <v>92</v>
      </c>
      <c r="J2" s="130">
        <v>10</v>
      </c>
      <c r="K2" s="61" t="s">
        <v>93</v>
      </c>
      <c r="L2" s="61"/>
      <c r="M2" s="73"/>
      <c r="N2" s="61"/>
      <c r="O2" s="62" t="s">
        <v>98</v>
      </c>
      <c r="P2" s="139">
        <f>1000000/$P$6</f>
        <v>88.96969696969697</v>
      </c>
      <c r="Q2" s="61" t="s">
        <v>87</v>
      </c>
      <c r="R2" s="274"/>
      <c r="S2" s="275" t="s">
        <v>232</v>
      </c>
      <c r="T2" s="278" t="str">
        <f>Notes!F16</f>
        <v>2.4.1</v>
      </c>
      <c r="U2" s="279" t="s">
        <v>229</v>
      </c>
      <c r="V2" s="283">
        <f>Notes!D16</f>
        <v>36881</v>
      </c>
      <c r="W2" s="284"/>
      <c r="X2" s="6"/>
      <c r="Y2" s="243" t="s">
        <v>154</v>
      </c>
      <c r="Z2" s="244">
        <f>10^(B6/10)</f>
        <v>1.4674520983962098</v>
      </c>
      <c r="AA2" s="245" t="s">
        <v>153</v>
      </c>
      <c r="AB2" s="66"/>
      <c r="AC2" s="1"/>
      <c r="AD2" s="1"/>
      <c r="AE2" s="1"/>
      <c r="AF2" s="1"/>
    </row>
    <row r="3" spans="1:32" ht="15" customHeight="1">
      <c r="A3" s="62" t="s">
        <v>214</v>
      </c>
      <c r="B3" s="67">
        <f>0.25*$E$4*$B$4*(1-($E$5/$B$4)^4)</f>
        <v>-3.289220321570565</v>
      </c>
      <c r="C3" s="66" t="s">
        <v>213</v>
      </c>
      <c r="D3" s="65" t="s">
        <v>144</v>
      </c>
      <c r="E3" s="145">
        <v>1000000</v>
      </c>
      <c r="F3" s="61" t="s">
        <v>143</v>
      </c>
      <c r="G3" s="61"/>
      <c r="H3" s="73"/>
      <c r="I3" s="62" t="s">
        <v>95</v>
      </c>
      <c r="J3" s="117">
        <v>7.5</v>
      </c>
      <c r="K3" s="73" t="s">
        <v>93</v>
      </c>
      <c r="L3" s="61"/>
      <c r="M3" s="73"/>
      <c r="N3" s="61"/>
      <c r="O3" s="62" t="s">
        <v>4</v>
      </c>
      <c r="P3" s="49">
        <f>IF($B$4&gt;1000,$E$6/1.5,$E$6/3.5)</f>
        <v>0.3333333333333333</v>
      </c>
      <c r="Q3" s="61"/>
      <c r="R3" s="80"/>
      <c r="S3" s="243" t="s">
        <v>207</v>
      </c>
      <c r="T3" s="244">
        <f>10*LOG10(Z3)</f>
        <v>7.225116166238673</v>
      </c>
      <c r="U3" s="246" t="s">
        <v>155</v>
      </c>
      <c r="V3" s="73"/>
      <c r="W3" s="66"/>
      <c r="X3" s="6"/>
      <c r="Y3" s="243" t="s">
        <v>152</v>
      </c>
      <c r="Z3" s="244">
        <f>(Z2+1)/(Z2-1)</f>
        <v>5.278513256998606</v>
      </c>
      <c r="AA3" s="245" t="s">
        <v>153</v>
      </c>
      <c r="AB3" s="82"/>
      <c r="AC3" s="1"/>
      <c r="AD3" s="1"/>
      <c r="AE3" s="1"/>
      <c r="AF3" s="1"/>
    </row>
    <row r="4" spans="1:32" ht="15" customHeight="1">
      <c r="A4" s="62" t="s">
        <v>48</v>
      </c>
      <c r="B4" s="84">
        <v>1290</v>
      </c>
      <c r="C4" s="73"/>
      <c r="D4" s="65" t="s">
        <v>7</v>
      </c>
      <c r="E4" s="81">
        <v>0.093</v>
      </c>
      <c r="F4" s="61"/>
      <c r="G4" s="61"/>
      <c r="H4" s="73"/>
      <c r="I4" s="62" t="s">
        <v>96</v>
      </c>
      <c r="J4" s="210">
        <v>0.25</v>
      </c>
      <c r="K4" s="61" t="s">
        <v>93</v>
      </c>
      <c r="L4" s="61"/>
      <c r="M4" s="61"/>
      <c r="N4" s="61"/>
      <c r="O4" s="62" t="s">
        <v>5</v>
      </c>
      <c r="P4" s="139">
        <f>B7*1.518</f>
        <v>60.72</v>
      </c>
      <c r="Q4" s="73" t="s">
        <v>87</v>
      </c>
      <c r="R4" s="85"/>
      <c r="S4" s="2" t="s">
        <v>208</v>
      </c>
      <c r="T4" s="4">
        <f>10*LOG10((1+10^(-($J$10/10)))/(1-10^(-($J$10/10))))</f>
        <v>2.2295037120051053</v>
      </c>
      <c r="U4" s="246" t="s">
        <v>155</v>
      </c>
      <c r="V4" s="73"/>
      <c r="W4" s="66"/>
      <c r="X4" s="6"/>
      <c r="Y4" s="248" t="s">
        <v>31</v>
      </c>
      <c r="Z4" s="5">
        <f>0.7*$E$4*$B$5</f>
        <v>0.026039999999999997</v>
      </c>
      <c r="AA4" s="66" t="s">
        <v>213</v>
      </c>
      <c r="AB4" s="83"/>
      <c r="AC4" s="1"/>
      <c r="AD4" s="1"/>
      <c r="AE4" s="1"/>
      <c r="AF4" s="1"/>
    </row>
    <row r="5" spans="1:32" ht="15" customHeight="1">
      <c r="A5" s="62" t="s">
        <v>6</v>
      </c>
      <c r="B5" s="86">
        <v>0.4</v>
      </c>
      <c r="C5" s="73"/>
      <c r="D5" s="65" t="s">
        <v>49</v>
      </c>
      <c r="E5" s="81">
        <v>1324</v>
      </c>
      <c r="F5" s="61"/>
      <c r="G5" s="61"/>
      <c r="H5" s="73"/>
      <c r="I5" s="62" t="s">
        <v>9</v>
      </c>
      <c r="J5" s="87">
        <v>480</v>
      </c>
      <c r="K5" s="61" t="s">
        <v>91</v>
      </c>
      <c r="L5" s="73"/>
      <c r="M5" s="67"/>
      <c r="N5" s="61"/>
      <c r="O5" s="62" t="s">
        <v>8</v>
      </c>
      <c r="P5" s="95">
        <v>0.7</v>
      </c>
      <c r="Q5" s="61"/>
      <c r="R5" s="85"/>
      <c r="S5" s="248" t="s">
        <v>163</v>
      </c>
      <c r="T5" s="249">
        <f>T3-T4</f>
        <v>4.995612454233568</v>
      </c>
      <c r="U5" s="246" t="s">
        <v>155</v>
      </c>
      <c r="V5" s="73"/>
      <c r="W5" s="66"/>
      <c r="X5" s="6"/>
      <c r="AB5" s="83"/>
      <c r="AC5" s="1"/>
      <c r="AD5" s="1"/>
      <c r="AE5" s="1"/>
      <c r="AF5" s="1"/>
    </row>
    <row r="6" spans="1:32" ht="15" customHeight="1">
      <c r="A6" s="62" t="s">
        <v>223</v>
      </c>
      <c r="B6" s="70">
        <f>10*LOG10((2*AE7+K9)/(2*AE7-K9))</f>
        <v>1.6656393360501063</v>
      </c>
      <c r="C6" s="73" t="s">
        <v>54</v>
      </c>
      <c r="D6" s="65" t="s">
        <v>83</v>
      </c>
      <c r="E6" s="81">
        <v>0.5</v>
      </c>
      <c r="F6" s="61" t="str">
        <f>"dB/km at "&amp;IF(B4&lt;1000,850,1300)&amp;" nm"</f>
        <v>dB/km at 1300 nm</v>
      </c>
      <c r="G6" s="61"/>
      <c r="H6" s="73"/>
      <c r="I6" s="62" t="s">
        <v>12</v>
      </c>
      <c r="J6" s="86">
        <v>7.037</v>
      </c>
      <c r="K6" s="61"/>
      <c r="L6" s="61"/>
      <c r="M6" s="67"/>
      <c r="N6" s="61"/>
      <c r="O6" s="65" t="s">
        <v>10</v>
      </c>
      <c r="P6" s="88">
        <f>(P7)</f>
        <v>11239.782016348774</v>
      </c>
      <c r="Q6" s="66"/>
      <c r="R6" s="83"/>
      <c r="S6" s="62" t="s">
        <v>204</v>
      </c>
      <c r="T6" s="51">
        <f>$E$10-$E$11</f>
        <v>8</v>
      </c>
      <c r="U6" s="233" t="s">
        <v>54</v>
      </c>
      <c r="V6" s="73"/>
      <c r="W6" s="66"/>
      <c r="Y6" s="166" t="s">
        <v>114</v>
      </c>
      <c r="Z6" s="167">
        <f>$Z$8*$P$2/(SQRT(8)*$T$9)</f>
        <v>1.8929899758366002</v>
      </c>
      <c r="AA6" s="168" t="s">
        <v>67</v>
      </c>
      <c r="AB6" s="61"/>
      <c r="AC6" s="1"/>
      <c r="AD6" s="1"/>
      <c r="AE6" s="1"/>
      <c r="AF6" s="1"/>
    </row>
    <row r="7" spans="1:32" ht="15" customHeight="1">
      <c r="A7" s="62" t="s">
        <v>11</v>
      </c>
      <c r="B7" s="81">
        <v>40</v>
      </c>
      <c r="C7" s="73" t="s">
        <v>87</v>
      </c>
      <c r="D7" s="65" t="s">
        <v>145</v>
      </c>
      <c r="E7" s="239">
        <f>IF(O1="SMF",1000000*J2/(3*E2),E3)</f>
        <v>333333.3333333333</v>
      </c>
      <c r="F7" s="61" t="s">
        <v>143</v>
      </c>
      <c r="G7" s="67"/>
      <c r="H7" s="67"/>
      <c r="I7" s="65" t="s">
        <v>88</v>
      </c>
      <c r="J7" s="147">
        <f>2.5*10^5/$E$8</f>
        <v>24.242424242424242</v>
      </c>
      <c r="K7" s="67" t="s">
        <v>87</v>
      </c>
      <c r="L7" s="61"/>
      <c r="M7" s="67"/>
      <c r="N7" s="61"/>
      <c r="O7" s="65" t="s">
        <v>13</v>
      </c>
      <c r="P7" s="89">
        <f>1/((1/$E$8)-$J$8*10^-6)</f>
        <v>11239.782016348774</v>
      </c>
      <c r="Q7" s="66"/>
      <c r="R7" s="83"/>
      <c r="S7" s="91" t="s">
        <v>28</v>
      </c>
      <c r="T7" s="115">
        <f>AE36</f>
        <v>0.6057560600136727</v>
      </c>
      <c r="U7" s="92" t="str">
        <f>"dB at target "&amp;J2&amp;" km"</f>
        <v>dB at target 10 km</v>
      </c>
      <c r="V7" s="73"/>
      <c r="W7" s="119"/>
      <c r="Y7" s="166" t="s">
        <v>115</v>
      </c>
      <c r="Z7" s="169">
        <f>IF(ABS($Z$6)&lt;10,SIGN($Z$6)*ERF(ABS($Z$6)),SIGN($Z$6))</f>
        <v>0.9925735779134015</v>
      </c>
      <c r="AA7" s="168" t="s">
        <v>67</v>
      </c>
      <c r="AB7" s="61"/>
      <c r="AC7" s="1"/>
      <c r="AD7" s="2" t="s">
        <v>166</v>
      </c>
      <c r="AE7" s="253">
        <f>1000*10^(J9/10)</f>
        <v>1258.9254117941673</v>
      </c>
      <c r="AF7" s="1" t="s">
        <v>165</v>
      </c>
    </row>
    <row r="8" spans="1:32" ht="15" customHeight="1">
      <c r="A8" s="248" t="s">
        <v>224</v>
      </c>
      <c r="B8" s="81">
        <v>-130</v>
      </c>
      <c r="C8" s="102" t="s">
        <v>74</v>
      </c>
      <c r="D8" s="62" t="s">
        <v>84</v>
      </c>
      <c r="E8" s="148">
        <v>10312.5</v>
      </c>
      <c r="F8" s="73" t="s">
        <v>89</v>
      </c>
      <c r="G8" s="67"/>
      <c r="H8" s="61"/>
      <c r="I8" s="65" t="s">
        <v>15</v>
      </c>
      <c r="J8" s="81">
        <v>8</v>
      </c>
      <c r="K8" s="61"/>
      <c r="L8" s="61"/>
      <c r="M8" s="61"/>
      <c r="N8" s="61"/>
      <c r="O8" s="62" t="s">
        <v>14</v>
      </c>
      <c r="P8" s="63">
        <f>(10^-6)*$J$7*$P$7</f>
        <v>0.2724795640326975</v>
      </c>
      <c r="Q8" s="66"/>
      <c r="R8" s="83"/>
      <c r="S8" s="65" t="s">
        <v>100</v>
      </c>
      <c r="T8" s="49">
        <f>$P$3*((1/(0.00094*$B$4)^4)+1.05)</f>
        <v>0.5041730590745426</v>
      </c>
      <c r="U8" s="61" t="str">
        <f>"dB/km at "&amp;B4&amp;" nm"</f>
        <v>dB/km at 1290 nm</v>
      </c>
      <c r="V8" s="73"/>
      <c r="W8" s="66"/>
      <c r="Y8" s="166" t="s">
        <v>116</v>
      </c>
      <c r="Z8" s="170">
        <v>2.563</v>
      </c>
      <c r="AA8" s="168" t="s">
        <v>67</v>
      </c>
      <c r="AB8" s="61"/>
      <c r="AC8" s="1"/>
      <c r="AD8" s="1"/>
      <c r="AE8" s="1"/>
      <c r="AF8" s="1"/>
    </row>
    <row r="9" spans="1:32" ht="15" customHeight="1">
      <c r="A9" s="62" t="s">
        <v>225</v>
      </c>
      <c r="B9" s="247">
        <f>B8-2*T3</f>
        <v>-144.45023233247736</v>
      </c>
      <c r="C9" s="102" t="s">
        <v>74</v>
      </c>
      <c r="D9" s="65" t="s">
        <v>85</v>
      </c>
      <c r="E9" s="145">
        <v>7725</v>
      </c>
      <c r="F9" s="73" t="s">
        <v>90</v>
      </c>
      <c r="G9" s="73"/>
      <c r="H9" s="61"/>
      <c r="I9" s="258" t="s">
        <v>233</v>
      </c>
      <c r="J9" s="122">
        <v>1</v>
      </c>
      <c r="K9" s="250">
        <v>477</v>
      </c>
      <c r="L9" s="92" t="s">
        <v>164</v>
      </c>
      <c r="M9" s="67"/>
      <c r="N9" s="61"/>
      <c r="O9" s="62" t="s">
        <v>16</v>
      </c>
      <c r="P9" s="90">
        <f>(P8)</f>
        <v>0.2724795640326975</v>
      </c>
      <c r="Q9" s="66"/>
      <c r="R9" s="83"/>
      <c r="S9" s="91" t="s">
        <v>64</v>
      </c>
      <c r="T9" s="138">
        <f>T10*1000/$E$9</f>
        <v>42.58899676375405</v>
      </c>
      <c r="U9" s="92" t="s">
        <v>87</v>
      </c>
      <c r="V9" s="32"/>
      <c r="W9" s="41"/>
      <c r="Y9" s="171" t="s">
        <v>86</v>
      </c>
      <c r="Z9" s="193">
        <f>ERF(MAX(MIN($Z$8*$P$2*($P$9+1)/(SQRT(8)*$T$9),10),-10))+ERF(MAX(MIN($Z$8*$P$2*(1-$P$9)/(SQRT(8)*$T$9),10),-10))-1</f>
        <v>0.9478839331808959</v>
      </c>
      <c r="AA9" s="172" t="s">
        <v>67</v>
      </c>
      <c r="AB9" s="61"/>
      <c r="AC9" s="1"/>
      <c r="AD9" s="1"/>
      <c r="AE9" s="1"/>
      <c r="AF9" s="1"/>
    </row>
    <row r="10" spans="1:32" ht="15" customHeight="1">
      <c r="A10" s="273" t="s">
        <v>226</v>
      </c>
      <c r="B10" s="81">
        <v>0</v>
      </c>
      <c r="C10" s="73"/>
      <c r="D10" s="65" t="s">
        <v>58</v>
      </c>
      <c r="E10" s="81">
        <v>10</v>
      </c>
      <c r="F10" s="73"/>
      <c r="G10" s="62"/>
      <c r="H10" s="61"/>
      <c r="I10" s="62" t="s">
        <v>21</v>
      </c>
      <c r="J10" s="116">
        <v>6</v>
      </c>
      <c r="K10" s="61"/>
      <c r="L10" s="61"/>
      <c r="M10" s="67"/>
      <c r="N10" s="61"/>
      <c r="O10" s="62" t="s">
        <v>18</v>
      </c>
      <c r="P10" s="49">
        <f>S35-$T$6</f>
        <v>0.997376108076713</v>
      </c>
      <c r="Q10" s="67" t="s">
        <v>19</v>
      </c>
      <c r="R10" s="83"/>
      <c r="S10" s="202" t="s">
        <v>141</v>
      </c>
      <c r="T10" s="234">
        <v>329</v>
      </c>
      <c r="U10" s="235" t="s">
        <v>91</v>
      </c>
      <c r="V10" s="73"/>
      <c r="W10" s="103" t="s">
        <v>20</v>
      </c>
      <c r="X10" s="66"/>
      <c r="Y10" s="12" t="s">
        <v>29</v>
      </c>
      <c r="Z10" s="12" t="s">
        <v>24</v>
      </c>
      <c r="AA10" s="150"/>
      <c r="AB10" s="61"/>
      <c r="AC10" s="1"/>
      <c r="AD10" s="1"/>
      <c r="AE10" s="1"/>
      <c r="AF10" s="1"/>
    </row>
    <row r="11" spans="1:32" ht="15" customHeight="1">
      <c r="A11" s="34" t="s">
        <v>17</v>
      </c>
      <c r="B11" s="240">
        <v>0</v>
      </c>
      <c r="C11" s="32"/>
      <c r="D11" s="45" t="s">
        <v>59</v>
      </c>
      <c r="E11" s="240">
        <v>2</v>
      </c>
      <c r="F11" s="32"/>
      <c r="G11" s="33"/>
      <c r="H11" s="33"/>
      <c r="I11" s="34" t="s">
        <v>65</v>
      </c>
      <c r="J11" s="35">
        <v>0.025</v>
      </c>
      <c r="K11" s="36" t="s">
        <v>57</v>
      </c>
      <c r="L11" s="37"/>
      <c r="M11" s="37"/>
      <c r="N11" s="33"/>
      <c r="O11" s="38" t="s">
        <v>53</v>
      </c>
      <c r="P11" s="39">
        <f>10*LOG10(1/SQRT(1-($J$6*J11)^2))</f>
        <v>0.0682681868313477</v>
      </c>
      <c r="Q11" s="36" t="s">
        <v>54</v>
      </c>
      <c r="R11" s="57"/>
      <c r="S11" s="38" t="s">
        <v>52</v>
      </c>
      <c r="T11" s="40">
        <f>10*LOG10(1/SQRT(1-($J$6*$J$11/$Z$9)^2))</f>
        <v>0.07611823324030983</v>
      </c>
      <c r="U11" s="236" t="s">
        <v>54</v>
      </c>
      <c r="V11" s="73"/>
      <c r="W11" s="93" t="s">
        <v>22</v>
      </c>
      <c r="X11" s="6" t="s">
        <v>23</v>
      </c>
      <c r="Y11" s="10" t="s">
        <v>77</v>
      </c>
      <c r="Z11" s="6" t="s">
        <v>30</v>
      </c>
      <c r="AA11" s="151" t="s">
        <v>68</v>
      </c>
      <c r="AB11" s="61"/>
      <c r="AC11" s="1"/>
      <c r="AD11" s="1"/>
      <c r="AE11" s="1"/>
      <c r="AF11" s="1"/>
    </row>
    <row r="12" spans="1:35" ht="15" customHeight="1">
      <c r="A12" s="242" t="s">
        <v>76</v>
      </c>
      <c r="B12" s="66" t="s">
        <v>215</v>
      </c>
      <c r="C12" s="66" t="s">
        <v>216</v>
      </c>
      <c r="D12" s="72" t="s">
        <v>70</v>
      </c>
      <c r="E12" s="72" t="s">
        <v>146</v>
      </c>
      <c r="F12" s="73" t="s">
        <v>71</v>
      </c>
      <c r="G12" s="73" t="s">
        <v>72</v>
      </c>
      <c r="H12" s="64" t="s">
        <v>32</v>
      </c>
      <c r="I12" s="65" t="s">
        <v>33</v>
      </c>
      <c r="J12" s="66" t="s">
        <v>34</v>
      </c>
      <c r="K12" s="67" t="s">
        <v>35</v>
      </c>
      <c r="L12" s="65" t="s">
        <v>36</v>
      </c>
      <c r="M12" s="65" t="s">
        <v>37</v>
      </c>
      <c r="N12" s="65" t="s">
        <v>38</v>
      </c>
      <c r="O12" s="68" t="s">
        <v>69</v>
      </c>
      <c r="P12" s="256" t="s">
        <v>175</v>
      </c>
      <c r="Q12" s="65" t="s">
        <v>39</v>
      </c>
      <c r="R12" s="69" t="s">
        <v>40</v>
      </c>
      <c r="S12" s="70" t="s">
        <v>42</v>
      </c>
      <c r="T12" s="68" t="s">
        <v>43</v>
      </c>
      <c r="U12" s="67" t="s">
        <v>44</v>
      </c>
      <c r="V12" s="71" t="s">
        <v>28</v>
      </c>
      <c r="W12" s="230" t="s">
        <v>27</v>
      </c>
      <c r="X12" s="6" t="s">
        <v>28</v>
      </c>
      <c r="Y12" s="5" t="s">
        <v>157</v>
      </c>
      <c r="Z12" s="5" t="s">
        <v>158</v>
      </c>
      <c r="AA12" s="151" t="s">
        <v>56</v>
      </c>
      <c r="AB12" s="66" t="s">
        <v>41</v>
      </c>
      <c r="AC12" s="156" t="s">
        <v>123</v>
      </c>
      <c r="AD12" s="1"/>
      <c r="AE12" s="146" t="s">
        <v>101</v>
      </c>
      <c r="AF12" s="173" t="s">
        <v>117</v>
      </c>
      <c r="AG12" s="180" t="s">
        <v>118</v>
      </c>
      <c r="AH12" s="157" t="s">
        <v>119</v>
      </c>
      <c r="AI12" s="157" t="s">
        <v>120</v>
      </c>
    </row>
    <row r="13" spans="1:35" s="33" customFormat="1" ht="15" customHeight="1">
      <c r="A13" s="120" t="s">
        <v>75</v>
      </c>
      <c r="B13" s="42" t="s">
        <v>217</v>
      </c>
      <c r="C13" s="42" t="s">
        <v>217</v>
      </c>
      <c r="D13" s="43" t="s">
        <v>73</v>
      </c>
      <c r="E13" s="43" t="s">
        <v>73</v>
      </c>
      <c r="F13" s="32" t="s">
        <v>97</v>
      </c>
      <c r="G13" s="32" t="s">
        <v>97</v>
      </c>
      <c r="H13" s="44" t="s">
        <v>25</v>
      </c>
      <c r="I13" s="45" t="s">
        <v>25</v>
      </c>
      <c r="J13" s="32"/>
      <c r="K13" s="46"/>
      <c r="L13" s="45" t="s">
        <v>25</v>
      </c>
      <c r="M13" s="45"/>
      <c r="N13" s="45" t="s">
        <v>25</v>
      </c>
      <c r="O13" s="45" t="s">
        <v>25</v>
      </c>
      <c r="P13" s="257" t="s">
        <v>25</v>
      </c>
      <c r="Q13" s="45" t="s">
        <v>25</v>
      </c>
      <c r="R13" s="58" t="s">
        <v>25</v>
      </c>
      <c r="S13" s="46" t="s">
        <v>25</v>
      </c>
      <c r="T13" s="47" t="s">
        <v>25</v>
      </c>
      <c r="U13" s="47" t="s">
        <v>26</v>
      </c>
      <c r="V13" s="48" t="s">
        <v>25</v>
      </c>
      <c r="W13" s="94" t="s">
        <v>45</v>
      </c>
      <c r="X13" s="42" t="s">
        <v>46</v>
      </c>
      <c r="Y13" s="42" t="s">
        <v>25</v>
      </c>
      <c r="Z13" s="42" t="s">
        <v>25</v>
      </c>
      <c r="AA13" s="152" t="s">
        <v>55</v>
      </c>
      <c r="AB13" s="42" t="s">
        <v>25</v>
      </c>
      <c r="AC13" s="132" t="s">
        <v>122</v>
      </c>
      <c r="AD13" s="133" t="s">
        <v>94</v>
      </c>
      <c r="AE13" s="133" t="s">
        <v>121</v>
      </c>
      <c r="AF13" s="174" t="s">
        <v>55</v>
      </c>
      <c r="AG13" s="181" t="s">
        <v>55</v>
      </c>
      <c r="AH13" s="181" t="s">
        <v>55</v>
      </c>
      <c r="AI13" s="181" t="s">
        <v>55</v>
      </c>
    </row>
    <row r="14" spans="1:35" s="114" customFormat="1" ht="15" customHeight="1">
      <c r="A14" s="121">
        <v>0.002</v>
      </c>
      <c r="B14" s="107">
        <f>A14*$B$3</f>
        <v>-0.00657844064314113</v>
      </c>
      <c r="C14" s="125">
        <f>A14*$Z$4</f>
        <v>5.2079999999999996E-05</v>
      </c>
      <c r="D14" s="108">
        <f>(0.187/$B$5)*10^6/(SQRT(B14^2+C14^2))</f>
        <v>71063246.70389146</v>
      </c>
      <c r="E14" s="108">
        <f>$E$7/A14</f>
        <v>166666666.66666666</v>
      </c>
      <c r="F14" s="140">
        <f>SQRT((1000*$J$5/D14)^2+(1000*$J$5/E14)^2+$P$4^2)</f>
        <v>60.720000443991246</v>
      </c>
      <c r="G14" s="140">
        <f aca="true" t="shared" si="0" ref="G14:G35">SQRT(F14^2+$T$9^2)</f>
        <v>74.16698119285529</v>
      </c>
      <c r="H14" s="109">
        <f aca="true" t="shared" si="1" ref="H14:H35">-10*LOG10(2*AG14-1)</f>
        <v>1.2404474239880336</v>
      </c>
      <c r="I14" s="107">
        <f aca="true" t="shared" si="2" ref="I14:I35">A14*$P$3*((1/(0.00094*$B$4)^4)+1.05)</f>
        <v>0.0010083461181490852</v>
      </c>
      <c r="J14" s="110">
        <f>(10^-6)*3.14*$P$6*B14*$B$5</f>
        <v>-9.28689399785128E-05</v>
      </c>
      <c r="K14" s="107">
        <f aca="true" t="shared" si="3" ref="K14:K35">($B$10/SQRT(2))*(1-EXP(-1*J14^2))</f>
        <v>0</v>
      </c>
      <c r="L14" s="107">
        <f aca="true" t="shared" si="4" ref="L14:L35">10*LOG10(1/SQRT(1-($J$6*K14)^2))</f>
        <v>0</v>
      </c>
      <c r="M14" s="107"/>
      <c r="N14" s="107"/>
      <c r="O14" s="107">
        <f aca="true" t="shared" si="5" ref="O14:O35">10*LOG10(1/SQRT(1-($J$6*$J$6*((($J$11/AA14)^2)+M14+(K14*K14)))))-$T$11-L14-N14</f>
        <v>0.07153699100412145</v>
      </c>
      <c r="P14" s="175">
        <f aca="true" t="shared" si="6" ref="P14:P35">Y14-Z14</f>
        <v>4.995612454233568</v>
      </c>
      <c r="Q14" s="107">
        <f aca="true" t="shared" si="7" ref="Q14:Q35">$B$11</f>
        <v>0</v>
      </c>
      <c r="R14" s="203">
        <f aca="true" t="shared" si="8" ref="R14:R35">-10*LOG10(AA14)-H14</f>
        <v>0.39534020271971526</v>
      </c>
      <c r="S14" s="255">
        <f>H14+I14+L14+N14+O14+Q14+R14</f>
        <v>1.7083329638300195</v>
      </c>
      <c r="T14" s="107">
        <f aca="true" t="shared" si="9" ref="T14:T35">$E$11+I14</f>
        <v>2.001008346118149</v>
      </c>
      <c r="U14" s="107">
        <f aca="true" t="shared" si="10" ref="U14:U35">S14-I14</f>
        <v>1.7073246177118704</v>
      </c>
      <c r="V14" s="112">
        <f aca="true" t="shared" si="11" ref="V14:V35">$T$6-S14</f>
        <v>6.29166703616998</v>
      </c>
      <c r="W14" s="113">
        <f aca="true" t="shared" si="12" ref="W14:W35">$J$9-T14-R14-$T$5</f>
        <v>-6.391961003071431</v>
      </c>
      <c r="X14" s="111"/>
      <c r="Y14" s="107">
        <f aca="true" t="shared" si="13" ref="Y14:Y35">10*LOG10((1+10^(-($B$6/10)))/(1-10^(-($B$6/10))))</f>
        <v>7.2251161662386725</v>
      </c>
      <c r="Z14" s="107">
        <f aca="true" t="shared" si="14" ref="Z14:Z35">10*LOG10((1+10^(-($J$10/10)))/(1-10^(-($J$10/10))))</f>
        <v>2.2295037120051053</v>
      </c>
      <c r="AA14" s="175">
        <f>ERF(AH14)+ERF(AI14)-1</f>
        <v>0.6861534278838395</v>
      </c>
      <c r="AB14" s="111">
        <f aca="true" t="shared" si="15" ref="AB14:AB35">$E$10-$E$11</f>
        <v>8</v>
      </c>
      <c r="AC14" s="134"/>
      <c r="AD14" s="135"/>
      <c r="AE14" s="110"/>
      <c r="AF14" s="178">
        <f aca="true" t="shared" si="16" ref="AF14:AF35">$Z$8*$P$2/(SQRT(8)*G14)</f>
        <v>1.087013960364484</v>
      </c>
      <c r="AG14" s="182">
        <f>IF(ABS(AF14)&lt;10,SIGN(AF14)*ERF(ABS(AF14)),SIGN(AF14))</f>
        <v>0.8757727317128807</v>
      </c>
      <c r="AH14" s="188">
        <f aca="true" t="shared" si="17" ref="AH14:AH35">MAX(MIN($Z$8*$P$2*($P$9+1)/(SQRT(8)*G14),10),-10)</f>
        <v>1.3832030503820543</v>
      </c>
      <c r="AI14" s="189">
        <f aca="true" t="shared" si="18" ref="AI14:AI35">MAX(MIN($Z$8*$P$2*(1-$P$9)/(SQRT(8)*G14),10),-10)</f>
        <v>0.7908248703469132</v>
      </c>
    </row>
    <row r="15" spans="1:35" s="20" customFormat="1" ht="15" customHeight="1">
      <c r="A15" s="261">
        <f>$J$3</f>
        <v>7.5</v>
      </c>
      <c r="B15" s="270">
        <f>A15*$B$3</f>
        <v>-24.669152411779237</v>
      </c>
      <c r="C15" s="127">
        <f>A15*$Z$4</f>
        <v>0.19529999999999997</v>
      </c>
      <c r="D15" s="142">
        <f>(0.187/$B$5)*10^6/(SQRT(B15^2+C15^2))</f>
        <v>18950.199121037724</v>
      </c>
      <c r="E15" s="142">
        <f>$E$7/A15</f>
        <v>44444.444444444445</v>
      </c>
      <c r="F15" s="104">
        <f aca="true" t="shared" si="19" ref="F15:F35">SQRT((1000*$J$5/D15)^2+(1000*$J$5/E15)^2+$P$4^2)</f>
        <v>66.6719165769145</v>
      </c>
      <c r="G15" s="165">
        <f t="shared" si="0"/>
        <v>79.1136341308001</v>
      </c>
      <c r="H15" s="98">
        <f t="shared" si="1"/>
        <v>1.5433425977887463</v>
      </c>
      <c r="I15" s="95">
        <f t="shared" si="2"/>
        <v>3.78129794305907</v>
      </c>
      <c r="J15" s="95">
        <f>(10^-6)*3.14*$P$6*B15*$B$5</f>
        <v>-0.348258524919423</v>
      </c>
      <c r="K15" s="95">
        <f t="shared" si="3"/>
        <v>0</v>
      </c>
      <c r="L15" s="95">
        <f t="shared" si="4"/>
        <v>0</v>
      </c>
      <c r="M15" s="95">
        <f>$P$5*10^9*($J$5/G15)*10^($B$8/10)</f>
        <v>0.00042470555637032773</v>
      </c>
      <c r="N15" s="95">
        <f aca="true" t="shared" si="20" ref="N15:N35">10*LOG10(1/SQRT(1-($J$6^2)*M15))</f>
        <v>0.04615563696548752</v>
      </c>
      <c r="O15" s="95">
        <f t="shared" si="5"/>
        <v>0.0989332201452682</v>
      </c>
      <c r="P15" s="207">
        <f t="shared" si="6"/>
        <v>4.995612454233568</v>
      </c>
      <c r="Q15" s="95">
        <f t="shared" si="7"/>
        <v>0</v>
      </c>
      <c r="R15" s="194">
        <f t="shared" si="8"/>
        <v>0.4023454205346637</v>
      </c>
      <c r="S15" s="96">
        <f>H15+I15+L15+N15+O15+Q15+R15</f>
        <v>5.8720748184932345</v>
      </c>
      <c r="T15" s="95">
        <f t="shared" si="9"/>
        <v>5.781297943059069</v>
      </c>
      <c r="U15" s="95">
        <f t="shared" si="10"/>
        <v>2.0907768754341647</v>
      </c>
      <c r="V15" s="100">
        <f t="shared" si="11"/>
        <v>2.1279251815067655</v>
      </c>
      <c r="W15" s="254">
        <f t="shared" si="12"/>
        <v>-10.1792558178273</v>
      </c>
      <c r="X15" s="19"/>
      <c r="Y15" s="18">
        <f t="shared" si="13"/>
        <v>7.2251161662386725</v>
      </c>
      <c r="Z15" s="18">
        <f t="shared" si="14"/>
        <v>2.2295037120051053</v>
      </c>
      <c r="AA15" s="206">
        <f>ERF(AH15)+ERF(AI15)-1</f>
        <v>0.6388975138615591</v>
      </c>
      <c r="AB15" s="99">
        <f t="shared" si="15"/>
        <v>8</v>
      </c>
      <c r="AC15" s="183">
        <f aca="true" t="shared" si="21" ref="AC15:AC35">$J$2</f>
        <v>10</v>
      </c>
      <c r="AD15" s="185">
        <v>0</v>
      </c>
      <c r="AE15" s="198">
        <f aca="true" t="shared" si="22" ref="AE15:AE35">IF(A15=$J$2,V15,0)</f>
        <v>0</v>
      </c>
      <c r="AF15" s="153">
        <f t="shared" si="16"/>
        <v>1.0190474099752809</v>
      </c>
      <c r="AG15" s="176">
        <f>IF(ABS(AF15)&lt;10,SIGN(AF15)*ERF(ABS(AF15)),SIGN(AF15))</f>
        <v>0.8504578114671264</v>
      </c>
      <c r="AH15" s="191">
        <f t="shared" si="17"/>
        <v>1.296717003973995</v>
      </c>
      <c r="AI15" s="192">
        <f t="shared" si="18"/>
        <v>0.7413778159765667</v>
      </c>
    </row>
    <row r="16" spans="1:35" s="26" customFormat="1" ht="15" customHeight="1">
      <c r="A16" s="262">
        <f aca="true" t="shared" si="23" ref="A16:A35">A15+$J$4</f>
        <v>7.75</v>
      </c>
      <c r="B16" s="271">
        <f>A16*$B$3</f>
        <v>-25.49145749217188</v>
      </c>
      <c r="C16" s="128">
        <f>A16*$Z$4</f>
        <v>0.20181</v>
      </c>
      <c r="D16" s="143">
        <f>(0.187/$B$5)*10^6/(SQRT(B16^2+C16^2))</f>
        <v>18338.902375197795</v>
      </c>
      <c r="E16" s="143">
        <f>$E$7/A16</f>
        <v>43010.75268817204</v>
      </c>
      <c r="F16" s="105">
        <f t="shared" si="19"/>
        <v>67.05621028243165</v>
      </c>
      <c r="G16" s="105">
        <f t="shared" si="0"/>
        <v>79.43776169294263</v>
      </c>
      <c r="H16" s="50">
        <f t="shared" si="1"/>
        <v>1.564061481158159</v>
      </c>
      <c r="I16" s="49">
        <f t="shared" si="2"/>
        <v>3.907341207827705</v>
      </c>
      <c r="J16" s="49">
        <f aca="true" t="shared" si="24" ref="J16:J35">(10^-6)*3.14*$P$6*B16*$B$5</f>
        <v>-0.3598671424167371</v>
      </c>
      <c r="K16" s="49">
        <f t="shared" si="3"/>
        <v>0</v>
      </c>
      <c r="L16" s="49">
        <f t="shared" si="4"/>
        <v>0</v>
      </c>
      <c r="M16" s="49">
        <f aca="true" t="shared" si="25" ref="M16:M33">$P$5*10^9*($J$5/G16)*10^($B$8/10)</f>
        <v>0.00042297264278262105</v>
      </c>
      <c r="N16" s="49">
        <f t="shared" si="20"/>
        <v>0.04596530206977714</v>
      </c>
      <c r="O16" s="49">
        <f t="shared" si="5"/>
        <v>0.10069590093948028</v>
      </c>
      <c r="P16" s="205">
        <f t="shared" si="6"/>
        <v>4.995612454233568</v>
      </c>
      <c r="Q16" s="49">
        <f t="shared" si="7"/>
        <v>0</v>
      </c>
      <c r="R16" s="197">
        <f t="shared" si="8"/>
        <v>0.4027037205396906</v>
      </c>
      <c r="S16" s="53">
        <f aca="true" t="shared" si="26" ref="S16:S35">H16+I16+L16+N16+O16+Q16+R16</f>
        <v>6.020767612534812</v>
      </c>
      <c r="T16" s="49">
        <f t="shared" si="9"/>
        <v>5.907341207827705</v>
      </c>
      <c r="U16" s="49">
        <f t="shared" si="10"/>
        <v>2.1134264047071074</v>
      </c>
      <c r="V16" s="54">
        <f t="shared" si="11"/>
        <v>1.9792323874651876</v>
      </c>
      <c r="W16" s="97">
        <f t="shared" si="12"/>
        <v>-10.305657382600963</v>
      </c>
      <c r="X16" s="25">
        <f aca="true" t="shared" si="27" ref="X16:X34">(V17-V15)/2</f>
        <v>-0.14907987064033446</v>
      </c>
      <c r="Y16" s="23">
        <f t="shared" si="13"/>
        <v>7.2251161662386725</v>
      </c>
      <c r="Z16" s="23">
        <f t="shared" si="14"/>
        <v>2.2295037120051053</v>
      </c>
      <c r="AA16" s="205">
        <f>ERF(AH16)+ERF(AI16)-1</f>
        <v>0.6358043279183927</v>
      </c>
      <c r="AB16" s="52">
        <f t="shared" si="15"/>
        <v>8</v>
      </c>
      <c r="AC16" s="136">
        <f t="shared" si="21"/>
        <v>10</v>
      </c>
      <c r="AD16" s="137">
        <f aca="true" t="shared" si="28" ref="AD16:AD34">AD17</f>
        <v>9.9</v>
      </c>
      <c r="AE16" s="199">
        <f t="shared" si="22"/>
        <v>0</v>
      </c>
      <c r="AF16" s="154">
        <f t="shared" si="16"/>
        <v>1.014889420806607</v>
      </c>
      <c r="AG16" s="177">
        <f>IF(ABS(AF16)&lt;10,SIGN(AF16)*ERF(ABS(AF16)),SIGN(AF16))</f>
        <v>0.8487898644668683</v>
      </c>
      <c r="AH16" s="193">
        <f t="shared" si="17"/>
        <v>1.2914260477293882</v>
      </c>
      <c r="AI16" s="193">
        <f t="shared" si="18"/>
        <v>0.7383527938838257</v>
      </c>
    </row>
    <row r="17" spans="1:35" s="26" customFormat="1" ht="15" customHeight="1">
      <c r="A17" s="262">
        <f t="shared" si="23"/>
        <v>8</v>
      </c>
      <c r="B17" s="271">
        <f aca="true" t="shared" si="29" ref="B17:B34">A17*$B$3</f>
        <v>-26.31376257256452</v>
      </c>
      <c r="C17" s="128">
        <f aca="true" t="shared" si="30" ref="C17:C34">A17*$Z$4</f>
        <v>0.20831999999999998</v>
      </c>
      <c r="D17" s="143">
        <f aca="true" t="shared" si="31" ref="D17:D35">(0.187/$B$5)*10^6/(SQRT(B17^2+C17^2))</f>
        <v>17765.811675972862</v>
      </c>
      <c r="E17" s="143">
        <f aca="true" t="shared" si="32" ref="E17:E34">$E$7/A17</f>
        <v>41666.666666666664</v>
      </c>
      <c r="F17" s="105">
        <f t="shared" si="19"/>
        <v>67.45080549292518</v>
      </c>
      <c r="G17" s="105">
        <f t="shared" si="0"/>
        <v>79.77113392065753</v>
      </c>
      <c r="H17" s="50">
        <f t="shared" si="1"/>
        <v>1.5854798795414573</v>
      </c>
      <c r="I17" s="49">
        <f t="shared" si="2"/>
        <v>4.033384472596341</v>
      </c>
      <c r="J17" s="49">
        <f t="shared" si="24"/>
        <v>-0.37147575991405124</v>
      </c>
      <c r="K17" s="49">
        <f t="shared" si="3"/>
        <v>0</v>
      </c>
      <c r="L17" s="49">
        <f t="shared" si="4"/>
        <v>0</v>
      </c>
      <c r="M17" s="49">
        <f t="shared" si="25"/>
        <v>0.0004212049941952617</v>
      </c>
      <c r="N17" s="49">
        <f t="shared" si="20"/>
        <v>0.04577116923548376</v>
      </c>
      <c r="O17" s="49">
        <f t="shared" si="5"/>
        <v>0.10253674401761025</v>
      </c>
      <c r="P17" s="205">
        <f t="shared" si="6"/>
        <v>4.995612454233568</v>
      </c>
      <c r="Q17" s="49">
        <f t="shared" si="7"/>
        <v>0</v>
      </c>
      <c r="R17" s="197">
        <f t="shared" si="8"/>
        <v>0.40306229438301155</v>
      </c>
      <c r="S17" s="53">
        <f t="shared" si="26"/>
        <v>6.1702345597739034</v>
      </c>
      <c r="T17" s="49">
        <f t="shared" si="9"/>
        <v>6.033384472596341</v>
      </c>
      <c r="U17" s="49">
        <f t="shared" si="10"/>
        <v>2.136850087177563</v>
      </c>
      <c r="V17" s="54">
        <f t="shared" si="11"/>
        <v>1.8297654402260966</v>
      </c>
      <c r="W17" s="97">
        <f t="shared" si="12"/>
        <v>-10.43205922121292</v>
      </c>
      <c r="X17" s="25">
        <f t="shared" si="27"/>
        <v>-0.1498552851646786</v>
      </c>
      <c r="Y17" s="23">
        <f t="shared" si="13"/>
        <v>7.2251161662386725</v>
      </c>
      <c r="Z17" s="23">
        <f t="shared" si="14"/>
        <v>2.2295037120051053</v>
      </c>
      <c r="AA17" s="205">
        <f>ERF(AH17)+ERF(AI17)-1</f>
        <v>0.6326241730338045</v>
      </c>
      <c r="AB17" s="52">
        <f t="shared" si="15"/>
        <v>8</v>
      </c>
      <c r="AC17" s="136">
        <f t="shared" si="21"/>
        <v>10</v>
      </c>
      <c r="AD17" s="137">
        <f t="shared" si="28"/>
        <v>9.9</v>
      </c>
      <c r="AE17" s="199">
        <f t="shared" si="22"/>
        <v>0</v>
      </c>
      <c r="AF17" s="154">
        <f t="shared" si="16"/>
        <v>1.0106480877520323</v>
      </c>
      <c r="AG17" s="177">
        <f>IF(ABS(AF17)&lt;10,SIGN(AF17)*ERF(ABS(AF17)),SIGN(AF17))</f>
        <v>0.8470739483344637</v>
      </c>
      <c r="AH17" s="193">
        <f t="shared" si="17"/>
        <v>1.2860290380931856</v>
      </c>
      <c r="AI17" s="193">
        <f t="shared" si="18"/>
        <v>0.735267137410879</v>
      </c>
    </row>
    <row r="18" spans="1:35" s="26" customFormat="1" ht="15" customHeight="1">
      <c r="A18" s="262">
        <f t="shared" si="23"/>
        <v>8.25</v>
      </c>
      <c r="B18" s="271">
        <f t="shared" si="29"/>
        <v>-27.136067652957163</v>
      </c>
      <c r="C18" s="128">
        <f t="shared" si="30"/>
        <v>0.21482999999999997</v>
      </c>
      <c r="D18" s="143">
        <f t="shared" si="31"/>
        <v>17227.45374639793</v>
      </c>
      <c r="E18" s="143">
        <f t="shared" si="32"/>
        <v>40404.0404040404</v>
      </c>
      <c r="F18" s="105">
        <f t="shared" si="19"/>
        <v>67.85552249188893</v>
      </c>
      <c r="G18" s="105">
        <f t="shared" si="0"/>
        <v>80.11363540615478</v>
      </c>
      <c r="H18" s="50">
        <f t="shared" si="1"/>
        <v>1.6075997390094077</v>
      </c>
      <c r="I18" s="49">
        <f t="shared" si="2"/>
        <v>4.159427737364977</v>
      </c>
      <c r="J18" s="49">
        <f t="shared" si="24"/>
        <v>-0.3830843774113653</v>
      </c>
      <c r="K18" s="49">
        <f t="shared" si="3"/>
        <v>0</v>
      </c>
      <c r="L18" s="49">
        <f t="shared" si="4"/>
        <v>0</v>
      </c>
      <c r="M18" s="49">
        <f t="shared" si="25"/>
        <v>0.00041940426033167707</v>
      </c>
      <c r="N18" s="49">
        <f t="shared" si="20"/>
        <v>0.045573420639688694</v>
      </c>
      <c r="O18" s="49">
        <f t="shared" si="5"/>
        <v>0.10445793144065074</v>
      </c>
      <c r="P18" s="205">
        <f t="shared" si="6"/>
        <v>4.995612454233568</v>
      </c>
      <c r="Q18" s="49">
        <f t="shared" si="7"/>
        <v>0</v>
      </c>
      <c r="R18" s="197">
        <f t="shared" si="8"/>
        <v>0.40341935440944554</v>
      </c>
      <c r="S18" s="53">
        <f t="shared" si="26"/>
        <v>6.32047818286417</v>
      </c>
      <c r="T18" s="49">
        <f t="shared" si="9"/>
        <v>6.159427737364977</v>
      </c>
      <c r="U18" s="49">
        <f t="shared" si="10"/>
        <v>2.1610504454991926</v>
      </c>
      <c r="V18" s="54">
        <f t="shared" si="11"/>
        <v>1.6795218171358304</v>
      </c>
      <c r="W18" s="97">
        <f t="shared" si="12"/>
        <v>-10.55845954600799</v>
      </c>
      <c r="X18" s="25">
        <f t="shared" si="27"/>
        <v>-0.15063418110708193</v>
      </c>
      <c r="Y18" s="23">
        <f t="shared" si="13"/>
        <v>7.2251161662386725</v>
      </c>
      <c r="Z18" s="23">
        <f t="shared" si="14"/>
        <v>2.2295037120051053</v>
      </c>
      <c r="AA18" s="205">
        <f>ERF(AH18)+ERF(AI18)-1</f>
        <v>0.6293584834568784</v>
      </c>
      <c r="AB18" s="52">
        <f t="shared" si="15"/>
        <v>8</v>
      </c>
      <c r="AC18" s="136">
        <f t="shared" si="21"/>
        <v>10</v>
      </c>
      <c r="AD18" s="137">
        <f t="shared" si="28"/>
        <v>9.9</v>
      </c>
      <c r="AE18" s="199">
        <f t="shared" si="22"/>
        <v>0</v>
      </c>
      <c r="AF18" s="154">
        <f t="shared" si="16"/>
        <v>1.0063273691925119</v>
      </c>
      <c r="AG18" s="177">
        <f>IF(ABS(AF18)&lt;10,SIGN(AF18)*ERF(ABS(AF18)),SIGN(AF18))</f>
        <v>0.8453106956852982</v>
      </c>
      <c r="AH18" s="193">
        <f t="shared" si="17"/>
        <v>1.280531012024259</v>
      </c>
      <c r="AI18" s="193">
        <f t="shared" si="18"/>
        <v>0.7321237263607647</v>
      </c>
    </row>
    <row r="19" spans="1:35" s="26" customFormat="1" ht="15" customHeight="1">
      <c r="A19" s="262">
        <f t="shared" si="23"/>
        <v>8.5</v>
      </c>
      <c r="B19" s="271">
        <f t="shared" si="29"/>
        <v>-27.958372733349805</v>
      </c>
      <c r="C19" s="128">
        <f t="shared" si="30"/>
        <v>0.22133999999999998</v>
      </c>
      <c r="D19" s="143">
        <f t="shared" si="31"/>
        <v>16720.7639303274</v>
      </c>
      <c r="E19" s="143">
        <f t="shared" si="32"/>
        <v>39215.686274509804</v>
      </c>
      <c r="F19" s="105">
        <f t="shared" si="19"/>
        <v>68.27018126861941</v>
      </c>
      <c r="G19" s="105">
        <f t="shared" si="0"/>
        <v>80.46514957292509</v>
      </c>
      <c r="H19" s="50">
        <f t="shared" si="1"/>
        <v>1.6304219337149808</v>
      </c>
      <c r="I19" s="49">
        <f t="shared" si="2"/>
        <v>4.285471002133612</v>
      </c>
      <c r="J19" s="49">
        <f t="shared" si="24"/>
        <v>-0.39469299490867943</v>
      </c>
      <c r="K19" s="49">
        <f t="shared" si="3"/>
        <v>0</v>
      </c>
      <c r="L19" s="49">
        <f t="shared" si="4"/>
        <v>0</v>
      </c>
      <c r="M19" s="49">
        <f t="shared" si="25"/>
        <v>0.0004175720815574763</v>
      </c>
      <c r="N19" s="49">
        <f t="shared" si="20"/>
        <v>0.04537223738448983</v>
      </c>
      <c r="O19" s="49">
        <f t="shared" si="5"/>
        <v>0.10646190421919144</v>
      </c>
      <c r="P19" s="205">
        <f t="shared" si="6"/>
        <v>4.995612454233568</v>
      </c>
      <c r="Q19" s="49">
        <f t="shared" si="7"/>
        <v>0</v>
      </c>
      <c r="R19" s="197">
        <f t="shared" si="8"/>
        <v>0.4037758445357926</v>
      </c>
      <c r="S19" s="53">
        <f t="shared" si="26"/>
        <v>6.471502921988067</v>
      </c>
      <c r="T19" s="49">
        <f t="shared" si="9"/>
        <v>6.285471002133612</v>
      </c>
      <c r="U19" s="49">
        <f t="shared" si="10"/>
        <v>2.1860319198544556</v>
      </c>
      <c r="V19" s="54">
        <f t="shared" si="11"/>
        <v>1.5284970780119327</v>
      </c>
      <c r="W19" s="97">
        <f t="shared" si="12"/>
        <v>-10.684859300902971</v>
      </c>
      <c r="X19" s="25">
        <f t="shared" si="27"/>
        <v>-0.15141671664842526</v>
      </c>
      <c r="Y19" s="23">
        <f t="shared" si="13"/>
        <v>7.2251161662386725</v>
      </c>
      <c r="Z19" s="23">
        <f t="shared" si="14"/>
        <v>2.2295037120051053</v>
      </c>
      <c r="AA19" s="205">
        <f>ERF(AH19)+ERF(AI19)-1</f>
        <v>0.6260084885185524</v>
      </c>
      <c r="AB19" s="52">
        <f t="shared" si="15"/>
        <v>8</v>
      </c>
      <c r="AC19" s="136">
        <f t="shared" si="21"/>
        <v>10</v>
      </c>
      <c r="AD19" s="137">
        <f t="shared" si="28"/>
        <v>9.9</v>
      </c>
      <c r="AE19" s="199">
        <f t="shared" si="22"/>
        <v>0</v>
      </c>
      <c r="AF19" s="154">
        <f t="shared" si="16"/>
        <v>1.0019312010556558</v>
      </c>
      <c r="AG19" s="177">
        <f>IF(ABS(AF19)&lt;10,SIGN(AF19)*ERF(ABS(AF19)),SIGN(AF19))</f>
        <v>0.8435008459637471</v>
      </c>
      <c r="AH19" s="193">
        <f t="shared" si="17"/>
        <v>1.274936977910058</v>
      </c>
      <c r="AI19" s="193">
        <f t="shared" si="18"/>
        <v>0.7289254242012536</v>
      </c>
    </row>
    <row r="20" spans="1:35" s="20" customFormat="1" ht="15" customHeight="1">
      <c r="A20" s="261">
        <f t="shared" si="23"/>
        <v>8.75</v>
      </c>
      <c r="B20" s="270">
        <f t="shared" si="29"/>
        <v>-28.780677813742443</v>
      </c>
      <c r="C20" s="127">
        <f t="shared" si="30"/>
        <v>0.22784999999999997</v>
      </c>
      <c r="D20" s="142">
        <f t="shared" si="31"/>
        <v>16243.027818032333</v>
      </c>
      <c r="E20" s="142">
        <f t="shared" si="32"/>
        <v>38095.23809523809</v>
      </c>
      <c r="F20" s="104">
        <f t="shared" si="19"/>
        <v>68.69460178975598</v>
      </c>
      <c r="G20" s="104">
        <f t="shared" si="0"/>
        <v>80.82555883132635</v>
      </c>
      <c r="H20" s="98">
        <f t="shared" si="1"/>
        <v>1.6539476350577957</v>
      </c>
      <c r="I20" s="95">
        <f t="shared" si="2"/>
        <v>4.411514266902248</v>
      </c>
      <c r="J20" s="95">
        <f t="shared" si="24"/>
        <v>-0.4063016124059935</v>
      </c>
      <c r="K20" s="95">
        <f t="shared" si="3"/>
        <v>0</v>
      </c>
      <c r="L20" s="95">
        <f t="shared" si="4"/>
        <v>0</v>
      </c>
      <c r="M20" s="95">
        <f t="shared" si="25"/>
        <v>0.0004157100858420211</v>
      </c>
      <c r="N20" s="95">
        <f t="shared" si="20"/>
        <v>0.04516779916095627</v>
      </c>
      <c r="O20" s="95">
        <f t="shared" si="5"/>
        <v>0.10855108808260532</v>
      </c>
      <c r="P20" s="207">
        <f t="shared" si="6"/>
        <v>4.995612454233568</v>
      </c>
      <c r="Q20" s="95">
        <f t="shared" si="7"/>
        <v>0</v>
      </c>
      <c r="R20" s="196">
        <f t="shared" si="8"/>
        <v>0.4041308269574153</v>
      </c>
      <c r="S20" s="96">
        <f t="shared" si="26"/>
        <v>6.62331161616102</v>
      </c>
      <c r="T20" s="95">
        <f t="shared" si="9"/>
        <v>6.411514266902248</v>
      </c>
      <c r="U20" s="95">
        <f t="shared" si="10"/>
        <v>2.211797349258772</v>
      </c>
      <c r="V20" s="100">
        <f t="shared" si="11"/>
        <v>1.3766883838389798</v>
      </c>
      <c r="W20" s="101">
        <f t="shared" si="12"/>
        <v>-10.81125754809323</v>
      </c>
      <c r="X20" s="27">
        <f t="shared" si="27"/>
        <v>-0.15220244971961217</v>
      </c>
      <c r="Y20" s="18">
        <f t="shared" si="13"/>
        <v>7.2251161662386725</v>
      </c>
      <c r="Z20" s="18">
        <f t="shared" si="14"/>
        <v>2.2295037120051053</v>
      </c>
      <c r="AA20" s="207">
        <f>ERF(AH20)+ERF(AI20)-1</f>
        <v>0.6225756831445102</v>
      </c>
      <c r="AB20" s="99">
        <f t="shared" si="15"/>
        <v>8</v>
      </c>
      <c r="AC20" s="183">
        <f t="shared" si="21"/>
        <v>10</v>
      </c>
      <c r="AD20" s="184">
        <f t="shared" si="28"/>
        <v>9.9</v>
      </c>
      <c r="AE20" s="198">
        <f t="shared" si="22"/>
        <v>0</v>
      </c>
      <c r="AF20" s="153">
        <f t="shared" si="16"/>
        <v>0.9974634895252581</v>
      </c>
      <c r="AG20" s="176">
        <f>IF(ABS(AF20)&lt;10,SIGN(AF20)*ERF(ABS(AF20)),SIGN(AF20))</f>
        <v>0.8416451350369377</v>
      </c>
      <c r="AH20" s="191">
        <f t="shared" si="17"/>
        <v>1.2692519062896335</v>
      </c>
      <c r="AI20" s="191">
        <f t="shared" si="18"/>
        <v>0.7256750727608825</v>
      </c>
    </row>
    <row r="21" spans="1:35" s="26" customFormat="1" ht="15" customHeight="1">
      <c r="A21" s="262">
        <f t="shared" si="23"/>
        <v>9</v>
      </c>
      <c r="B21" s="271">
        <f t="shared" si="29"/>
        <v>-29.602982894135085</v>
      </c>
      <c r="C21" s="128">
        <f t="shared" si="30"/>
        <v>0.23435999999999998</v>
      </c>
      <c r="D21" s="143">
        <f t="shared" si="31"/>
        <v>15791.83260086477</v>
      </c>
      <c r="E21" s="143">
        <f t="shared" si="32"/>
        <v>37037.03703703704</v>
      </c>
      <c r="F21" s="105">
        <f t="shared" si="19"/>
        <v>69.12860425653209</v>
      </c>
      <c r="G21" s="105">
        <f t="shared" si="0"/>
        <v>81.19474473018114</v>
      </c>
      <c r="H21" s="50">
        <f t="shared" si="1"/>
        <v>1.6781779753478143</v>
      </c>
      <c r="I21" s="49">
        <f t="shared" si="2"/>
        <v>4.537557531670884</v>
      </c>
      <c r="J21" s="49">
        <f t="shared" si="24"/>
        <v>-0.4179102299033076</v>
      </c>
      <c r="K21" s="49">
        <f t="shared" si="3"/>
        <v>0</v>
      </c>
      <c r="L21" s="49">
        <f t="shared" si="4"/>
        <v>0</v>
      </c>
      <c r="M21" s="49">
        <f t="shared" si="25"/>
        <v>0.0004138198859009461</v>
      </c>
      <c r="N21" s="49">
        <f t="shared" si="20"/>
        <v>0.044960283933306214</v>
      </c>
      <c r="O21" s="49">
        <f t="shared" si="5"/>
        <v>0.11072808230320298</v>
      </c>
      <c r="P21" s="205">
        <f t="shared" si="6"/>
        <v>4.995612454233568</v>
      </c>
      <c r="Q21" s="49">
        <f t="shared" si="7"/>
        <v>0</v>
      </c>
      <c r="R21" s="197">
        <f t="shared" si="8"/>
        <v>0.4044839481720848</v>
      </c>
      <c r="S21" s="53">
        <f t="shared" si="26"/>
        <v>6.775907821427292</v>
      </c>
      <c r="T21" s="49">
        <f t="shared" si="9"/>
        <v>6.537557531670884</v>
      </c>
      <c r="U21" s="49">
        <f t="shared" si="10"/>
        <v>2.238350289756408</v>
      </c>
      <c r="V21" s="54">
        <f t="shared" si="11"/>
        <v>1.2240921785727084</v>
      </c>
      <c r="W21" s="97">
        <f t="shared" si="12"/>
        <v>-10.937653934076536</v>
      </c>
      <c r="X21" s="25">
        <f t="shared" si="27"/>
        <v>-0.15299181789047456</v>
      </c>
      <c r="Y21" s="23">
        <f t="shared" si="13"/>
        <v>7.2251161662386725</v>
      </c>
      <c r="Z21" s="23">
        <f t="shared" si="14"/>
        <v>2.2295037120051053</v>
      </c>
      <c r="AA21" s="205">
        <f>ERF(AH21)+ERF(AI21)-1</f>
        <v>0.6190615170564038</v>
      </c>
      <c r="AB21" s="52">
        <f t="shared" si="15"/>
        <v>8</v>
      </c>
      <c r="AC21" s="136">
        <f t="shared" si="21"/>
        <v>10</v>
      </c>
      <c r="AD21" s="137">
        <f t="shared" si="28"/>
        <v>9.9</v>
      </c>
      <c r="AE21" s="199">
        <f t="shared" si="22"/>
        <v>0</v>
      </c>
      <c r="AF21" s="154">
        <f t="shared" si="16"/>
        <v>0.9929281041850004</v>
      </c>
      <c r="AG21" s="177">
        <f>IF(ABS(AF21)&lt;10,SIGN(AF21)*ERF(ABS(AF21)),SIGN(AF21))</f>
        <v>0.8397443216182487</v>
      </c>
      <c r="AH21" s="193">
        <f t="shared" si="17"/>
        <v>1.2634807211291421</v>
      </c>
      <c r="AI21" s="193">
        <f t="shared" si="18"/>
        <v>0.7223754872408585</v>
      </c>
    </row>
    <row r="22" spans="1:35" s="26" customFormat="1" ht="15" customHeight="1">
      <c r="A22" s="262">
        <f t="shared" si="23"/>
        <v>9.25</v>
      </c>
      <c r="B22" s="271">
        <f t="shared" si="29"/>
        <v>-30.425287974527727</v>
      </c>
      <c r="C22" s="128">
        <f t="shared" si="30"/>
        <v>0.24086999999999997</v>
      </c>
      <c r="D22" s="143">
        <f t="shared" si="31"/>
        <v>15365.02631435491</v>
      </c>
      <c r="E22" s="143">
        <f t="shared" si="32"/>
        <v>36036.036036036036</v>
      </c>
      <c r="F22" s="105">
        <f t="shared" si="19"/>
        <v>69.57200934757736</v>
      </c>
      <c r="G22" s="105">
        <f t="shared" si="0"/>
        <v>81.5725881041079</v>
      </c>
      <c r="H22" s="50">
        <f t="shared" si="1"/>
        <v>1.7031140486913037</v>
      </c>
      <c r="I22" s="49">
        <f t="shared" si="2"/>
        <v>4.663600796439519</v>
      </c>
      <c r="J22" s="49">
        <f t="shared" si="24"/>
        <v>-0.42951884740062174</v>
      </c>
      <c r="K22" s="49">
        <f t="shared" si="3"/>
        <v>0</v>
      </c>
      <c r="L22" s="49">
        <f t="shared" si="4"/>
        <v>0</v>
      </c>
      <c r="M22" s="49">
        <f t="shared" si="25"/>
        <v>0.00041190307652268725</v>
      </c>
      <c r="N22" s="49">
        <f t="shared" si="20"/>
        <v>0.04474986764366322</v>
      </c>
      <c r="O22" s="49">
        <f t="shared" si="5"/>
        <v>0.11299562122886718</v>
      </c>
      <c r="P22" s="205">
        <f t="shared" si="6"/>
        <v>4.995612454233568</v>
      </c>
      <c r="Q22" s="49">
        <f t="shared" si="7"/>
        <v>0</v>
      </c>
      <c r="R22" s="197">
        <f t="shared" si="8"/>
        <v>0.4048349179386155</v>
      </c>
      <c r="S22" s="53">
        <f t="shared" si="26"/>
        <v>6.929295251941969</v>
      </c>
      <c r="T22" s="49">
        <f t="shared" si="9"/>
        <v>6.663600796439519</v>
      </c>
      <c r="U22" s="49">
        <f t="shared" si="10"/>
        <v>2.26569445550245</v>
      </c>
      <c r="V22" s="54">
        <f t="shared" si="11"/>
        <v>1.0707047480580307</v>
      </c>
      <c r="W22" s="97">
        <f t="shared" si="12"/>
        <v>-11.064048168611702</v>
      </c>
      <c r="X22" s="25">
        <f t="shared" si="27"/>
        <v>-0.15378469345491075</v>
      </c>
      <c r="Y22" s="23">
        <f t="shared" si="13"/>
        <v>7.2251161662386725</v>
      </c>
      <c r="Z22" s="23">
        <f t="shared" si="14"/>
        <v>2.2295037120051053</v>
      </c>
      <c r="AA22" s="205">
        <f>ERF(AH22)+ERF(AI22)-1</f>
        <v>0.6154674696056444</v>
      </c>
      <c r="AB22" s="52">
        <f t="shared" si="15"/>
        <v>8</v>
      </c>
      <c r="AC22" s="136">
        <f t="shared" si="21"/>
        <v>10</v>
      </c>
      <c r="AD22" s="137">
        <f t="shared" si="28"/>
        <v>9.9</v>
      </c>
      <c r="AE22" s="199">
        <f t="shared" si="22"/>
        <v>0</v>
      </c>
      <c r="AF22" s="154">
        <f t="shared" si="16"/>
        <v>0.9883288716036689</v>
      </c>
      <c r="AG22" s="177">
        <f>IF(ABS(AF22)&lt;10,SIGN(AF22)*ERF(ABS(AF22)),SIGN(AF22))</f>
        <v>0.8377991865886995</v>
      </c>
      <c r="AH22" s="193">
        <f t="shared" si="17"/>
        <v>1.2576282916591643</v>
      </c>
      <c r="AI22" s="193">
        <f t="shared" si="18"/>
        <v>0.7190294515481732</v>
      </c>
    </row>
    <row r="23" spans="1:35" s="26" customFormat="1" ht="15" customHeight="1">
      <c r="A23" s="262">
        <f t="shared" si="23"/>
        <v>9.5</v>
      </c>
      <c r="B23" s="271">
        <f t="shared" si="29"/>
        <v>-31.24759305492037</v>
      </c>
      <c r="C23" s="128">
        <f t="shared" si="30"/>
        <v>0.24737999999999996</v>
      </c>
      <c r="D23" s="143">
        <f t="shared" si="31"/>
        <v>14960.683516608726</v>
      </c>
      <c r="E23" s="143">
        <f t="shared" si="32"/>
        <v>35087.71929824561</v>
      </c>
      <c r="F23" s="105">
        <f t="shared" si="19"/>
        <v>70.02463844721119</v>
      </c>
      <c r="G23" s="105">
        <f t="shared" si="0"/>
        <v>81.95896921634447</v>
      </c>
      <c r="H23" s="50">
        <f t="shared" si="1"/>
        <v>1.728756912552718</v>
      </c>
      <c r="I23" s="49">
        <f t="shared" si="2"/>
        <v>4.789644061208155</v>
      </c>
      <c r="J23" s="49">
        <f t="shared" si="24"/>
        <v>-0.4411274648979358</v>
      </c>
      <c r="K23" s="49">
        <f t="shared" si="3"/>
        <v>0</v>
      </c>
      <c r="L23" s="49">
        <f t="shared" si="4"/>
        <v>0</v>
      </c>
      <c r="M23" s="49">
        <f t="shared" si="25"/>
        <v>0.00040996123208073974</v>
      </c>
      <c r="N23" s="49">
        <f t="shared" si="20"/>
        <v>0.044536723937528375</v>
      </c>
      <c r="O23" s="49">
        <f t="shared" si="5"/>
        <v>0.11535653204360706</v>
      </c>
      <c r="P23" s="205">
        <f t="shared" si="6"/>
        <v>4.995612454233568</v>
      </c>
      <c r="Q23" s="49">
        <f t="shared" si="7"/>
        <v>0</v>
      </c>
      <c r="R23" s="197">
        <f t="shared" si="8"/>
        <v>0.4051829785951053</v>
      </c>
      <c r="S23" s="53">
        <f t="shared" si="26"/>
        <v>7.083477208337113</v>
      </c>
      <c r="T23" s="49">
        <f t="shared" si="9"/>
        <v>6.789644061208155</v>
      </c>
      <c r="U23" s="49">
        <f t="shared" si="10"/>
        <v>2.293833147128958</v>
      </c>
      <c r="V23" s="54">
        <f t="shared" si="11"/>
        <v>0.9165227916628869</v>
      </c>
      <c r="W23" s="97">
        <f t="shared" si="12"/>
        <v>-11.190439494036827</v>
      </c>
      <c r="X23" s="25">
        <f t="shared" si="27"/>
        <v>-0.15458180750852346</v>
      </c>
      <c r="Y23" s="23">
        <f t="shared" si="13"/>
        <v>7.2251161662386725</v>
      </c>
      <c r="Z23" s="23">
        <f t="shared" si="14"/>
        <v>2.2295037120051053</v>
      </c>
      <c r="AA23" s="205">
        <f>ERF(AH23)+ERF(AI23)-1</f>
        <v>0.6117951233586396</v>
      </c>
      <c r="AB23" s="52">
        <f t="shared" si="15"/>
        <v>8</v>
      </c>
      <c r="AC23" s="136">
        <f t="shared" si="21"/>
        <v>10</v>
      </c>
      <c r="AD23" s="137">
        <f t="shared" si="28"/>
        <v>9.9</v>
      </c>
      <c r="AE23" s="199">
        <f t="shared" si="22"/>
        <v>0</v>
      </c>
      <c r="AF23" s="154">
        <f t="shared" si="16"/>
        <v>0.9836695693660122</v>
      </c>
      <c r="AG23" s="177">
        <f>IF(ABS(AF23)&lt;10,SIGN(AF23)*ERF(ABS(AF23)),SIGN(AF23))</f>
        <v>0.835810532247852</v>
      </c>
      <c r="AH23" s="193">
        <f t="shared" si="17"/>
        <v>1.2516994247790945</v>
      </c>
      <c r="AI23" s="193">
        <f t="shared" si="18"/>
        <v>0.7156397139529298</v>
      </c>
    </row>
    <row r="24" spans="1:35" s="26" customFormat="1" ht="15" customHeight="1">
      <c r="A24" s="262">
        <f t="shared" si="23"/>
        <v>9.75</v>
      </c>
      <c r="B24" s="271">
        <f t="shared" si="29"/>
        <v>-32.06989813531301</v>
      </c>
      <c r="C24" s="128">
        <f t="shared" si="30"/>
        <v>0.25388999999999995</v>
      </c>
      <c r="D24" s="143">
        <f t="shared" si="31"/>
        <v>14577.076246952092</v>
      </c>
      <c r="E24" s="143">
        <f t="shared" si="32"/>
        <v>34188.03418803419</v>
      </c>
      <c r="F24" s="105">
        <f t="shared" si="19"/>
        <v>70.48631385925914</v>
      </c>
      <c r="G24" s="105">
        <f t="shared" si="0"/>
        <v>82.35376789685485</v>
      </c>
      <c r="H24" s="50">
        <f t="shared" si="1"/>
        <v>1.7551075899897453</v>
      </c>
      <c r="I24" s="49">
        <f t="shared" si="2"/>
        <v>4.915687325976791</v>
      </c>
      <c r="J24" s="49">
        <f t="shared" si="24"/>
        <v>-0.45273608239524993</v>
      </c>
      <c r="K24" s="49">
        <f t="shared" si="3"/>
        <v>0</v>
      </c>
      <c r="L24" s="49">
        <f t="shared" si="4"/>
        <v>0</v>
      </c>
      <c r="M24" s="49">
        <f t="shared" si="25"/>
        <v>0.0004079959042321269</v>
      </c>
      <c r="N24" s="49">
        <f t="shared" si="20"/>
        <v>0.04432102391004992</v>
      </c>
      <c r="O24" s="49">
        <f t="shared" si="5"/>
        <v>0.11781393374899479</v>
      </c>
      <c r="P24" s="205">
        <f t="shared" si="6"/>
        <v>4.995612454233568</v>
      </c>
      <c r="Q24" s="49">
        <f t="shared" si="7"/>
        <v>0</v>
      </c>
      <c r="R24" s="197">
        <f t="shared" si="8"/>
        <v>0.4055289933334367</v>
      </c>
      <c r="S24" s="53">
        <f t="shared" si="26"/>
        <v>7.238458866959016</v>
      </c>
      <c r="T24" s="49">
        <f t="shared" si="9"/>
        <v>6.915687325976791</v>
      </c>
      <c r="U24" s="49">
        <f t="shared" si="10"/>
        <v>2.3227715409822256</v>
      </c>
      <c r="V24" s="54">
        <f t="shared" si="11"/>
        <v>0.7615411330409838</v>
      </c>
      <c r="W24" s="97">
        <f t="shared" si="12"/>
        <v>-11.316828773543795</v>
      </c>
      <c r="X24" s="25">
        <f t="shared" si="27"/>
        <v>-0.1553833658246071</v>
      </c>
      <c r="Y24" s="23">
        <f t="shared" si="13"/>
        <v>7.2251161662386725</v>
      </c>
      <c r="Z24" s="23">
        <f t="shared" si="14"/>
        <v>2.2295037120051053</v>
      </c>
      <c r="AA24" s="205">
        <f>ERF(AH24)+ERF(AI24)-1</f>
        <v>0.6080458681570309</v>
      </c>
      <c r="AB24" s="52">
        <f t="shared" si="15"/>
        <v>8</v>
      </c>
      <c r="AC24" s="136">
        <f t="shared" si="21"/>
        <v>10</v>
      </c>
      <c r="AD24" s="137">
        <f t="shared" si="28"/>
        <v>9.9</v>
      </c>
      <c r="AE24" s="199">
        <f t="shared" si="22"/>
        <v>0</v>
      </c>
      <c r="AF24" s="154">
        <f t="shared" si="16"/>
        <v>0.9789539205504012</v>
      </c>
      <c r="AG24" s="177">
        <f>IF(ABS(AF24)&lt;10,SIGN(AF24)*ERF(ABS(AF24)),SIGN(AF24))</f>
        <v>0.8337791814976186</v>
      </c>
      <c r="AH24" s="193">
        <f t="shared" si="17"/>
        <v>1.2456988580300745</v>
      </c>
      <c r="AI24" s="193">
        <f t="shared" si="18"/>
        <v>0.7122089830707278</v>
      </c>
    </row>
    <row r="25" spans="1:35" s="20" customFormat="1" ht="15" customHeight="1">
      <c r="A25" s="261">
        <f t="shared" si="23"/>
        <v>10</v>
      </c>
      <c r="B25" s="270">
        <f t="shared" si="29"/>
        <v>-32.89220321570565</v>
      </c>
      <c r="C25" s="127">
        <f t="shared" si="30"/>
        <v>0.26039999999999996</v>
      </c>
      <c r="D25" s="142">
        <f t="shared" si="31"/>
        <v>14212.649340778293</v>
      </c>
      <c r="E25" s="142">
        <f t="shared" si="32"/>
        <v>33333.33333333333</v>
      </c>
      <c r="F25" s="104">
        <f t="shared" si="19"/>
        <v>70.95685900650771</v>
      </c>
      <c r="G25" s="104">
        <f t="shared" si="0"/>
        <v>82.75686367554336</v>
      </c>
      <c r="H25" s="98">
        <f t="shared" si="1"/>
        <v>1.7821666477741283</v>
      </c>
      <c r="I25" s="95">
        <f t="shared" si="2"/>
        <v>5.041730590745426</v>
      </c>
      <c r="J25" s="95">
        <f t="shared" si="24"/>
        <v>-0.464344699892564</v>
      </c>
      <c r="K25" s="95">
        <f t="shared" si="3"/>
        <v>0</v>
      </c>
      <c r="L25" s="95">
        <f t="shared" si="4"/>
        <v>0</v>
      </c>
      <c r="M25" s="95">
        <f t="shared" si="25"/>
        <v>0.00040600861980140033</v>
      </c>
      <c r="N25" s="95">
        <f t="shared" si="20"/>
        <v>0.04410293587297981</v>
      </c>
      <c r="O25" s="95">
        <f t="shared" si="5"/>
        <v>0.12037096395119176</v>
      </c>
      <c r="P25" s="207">
        <f t="shared" si="6"/>
        <v>4.995612454233568</v>
      </c>
      <c r="Q25" s="95">
        <f t="shared" si="7"/>
        <v>0</v>
      </c>
      <c r="R25" s="196">
        <f t="shared" si="8"/>
        <v>0.40587280164260076</v>
      </c>
      <c r="S25" s="96">
        <f t="shared" si="26"/>
        <v>7.394243939986327</v>
      </c>
      <c r="T25" s="95">
        <f t="shared" si="9"/>
        <v>7.041730590745426</v>
      </c>
      <c r="U25" s="95">
        <f t="shared" si="10"/>
        <v>2.352513349240901</v>
      </c>
      <c r="V25" s="100">
        <f t="shared" si="11"/>
        <v>0.6057560600136727</v>
      </c>
      <c r="W25" s="101">
        <f t="shared" si="12"/>
        <v>-11.443215846621595</v>
      </c>
      <c r="X25" s="27">
        <f t="shared" si="27"/>
        <v>-0.15618774842058913</v>
      </c>
      <c r="Y25" s="18">
        <f t="shared" si="13"/>
        <v>7.2251161662386725</v>
      </c>
      <c r="Z25" s="18">
        <f t="shared" si="14"/>
        <v>2.2295037120051053</v>
      </c>
      <c r="AA25" s="207">
        <f>ERF(AH25)+ERF(AI25)-1</f>
        <v>0.6042213335418671</v>
      </c>
      <c r="AB25" s="99">
        <f t="shared" si="15"/>
        <v>8</v>
      </c>
      <c r="AC25" s="183">
        <f t="shared" si="21"/>
        <v>10</v>
      </c>
      <c r="AD25" s="184">
        <f t="shared" si="28"/>
        <v>9.9</v>
      </c>
      <c r="AE25" s="198">
        <f t="shared" si="22"/>
        <v>0.6057560600136727</v>
      </c>
      <c r="AF25" s="153">
        <f t="shared" si="16"/>
        <v>0.9741855886516532</v>
      </c>
      <c r="AG25" s="176">
        <f>IF(ABS(AF25)&lt;10,SIGN(AF25)*ERF(ABS(AF25)),SIGN(AF25))</f>
        <v>0.8317060094068129</v>
      </c>
      <c r="AH25" s="191">
        <f t="shared" si="17"/>
        <v>1.2396312531343923</v>
      </c>
      <c r="AI25" s="191">
        <f t="shared" si="18"/>
        <v>0.7087399241689137</v>
      </c>
    </row>
    <row r="26" spans="1:35" s="26" customFormat="1" ht="15" customHeight="1">
      <c r="A26" s="262">
        <f t="shared" si="23"/>
        <v>10.25</v>
      </c>
      <c r="B26" s="271">
        <f t="shared" si="29"/>
        <v>-33.714508296098295</v>
      </c>
      <c r="C26" s="128">
        <f t="shared" si="30"/>
        <v>0.26691</v>
      </c>
      <c r="D26" s="143">
        <f t="shared" si="31"/>
        <v>13865.999356856868</v>
      </c>
      <c r="E26" s="143">
        <f t="shared" si="32"/>
        <v>32520.325203252032</v>
      </c>
      <c r="F26" s="105">
        <f t="shared" si="19"/>
        <v>71.43609861598637</v>
      </c>
      <c r="G26" s="105">
        <f t="shared" si="0"/>
        <v>83.16813591043136</v>
      </c>
      <c r="H26" s="50">
        <f t="shared" si="1"/>
        <v>1.8099358607286056</v>
      </c>
      <c r="I26" s="49">
        <f t="shared" si="2"/>
        <v>5.167773855514062</v>
      </c>
      <c r="J26" s="49">
        <f t="shared" si="24"/>
        <v>-0.4759533173898781</v>
      </c>
      <c r="K26" s="49">
        <f t="shared" si="3"/>
        <v>0</v>
      </c>
      <c r="L26" s="49">
        <f t="shared" si="4"/>
        <v>0</v>
      </c>
      <c r="M26" s="49">
        <f t="shared" si="25"/>
        <v>0.0004040008788484307</v>
      </c>
      <c r="N26" s="49">
        <f t="shared" si="20"/>
        <v>0.04388262514211326</v>
      </c>
      <c r="O26" s="49">
        <f t="shared" si="5"/>
        <v>0.1230307500611502</v>
      </c>
      <c r="P26" s="205">
        <f t="shared" si="6"/>
        <v>4.995612454233568</v>
      </c>
      <c r="Q26" s="49">
        <f t="shared" si="7"/>
        <v>0</v>
      </c>
      <c r="R26" s="197">
        <f t="shared" si="8"/>
        <v>0.40621127235426346</v>
      </c>
      <c r="S26" s="53">
        <f t="shared" si="26"/>
        <v>7.5508343638001945</v>
      </c>
      <c r="T26" s="49">
        <f t="shared" si="9"/>
        <v>7.167773855514062</v>
      </c>
      <c r="U26" s="49">
        <f t="shared" si="10"/>
        <v>2.3830605082861327</v>
      </c>
      <c r="V26" s="54">
        <f t="shared" si="11"/>
        <v>0.44916563619980554</v>
      </c>
      <c r="W26" s="97">
        <f t="shared" si="12"/>
        <v>-11.569597582101892</v>
      </c>
      <c r="X26" s="25">
        <f t="shared" si="27"/>
        <v>-0.1569978365652127</v>
      </c>
      <c r="Y26" s="23">
        <f t="shared" si="13"/>
        <v>7.2251161662386725</v>
      </c>
      <c r="Z26" s="23">
        <f t="shared" si="14"/>
        <v>2.2295037120051053</v>
      </c>
      <c r="AA26" s="205">
        <f>ERF(AH26)+ERF(AI26)-1</f>
        <v>0.6003234202444088</v>
      </c>
      <c r="AB26" s="52">
        <f t="shared" si="15"/>
        <v>8</v>
      </c>
      <c r="AC26" s="136">
        <f t="shared" si="21"/>
        <v>10</v>
      </c>
      <c r="AD26" s="137">
        <f t="shared" si="28"/>
        <v>9.9</v>
      </c>
      <c r="AE26" s="199">
        <f t="shared" si="22"/>
        <v>0</v>
      </c>
      <c r="AF26" s="154">
        <f t="shared" si="16"/>
        <v>0.96936817294485</v>
      </c>
      <c r="AG26" s="177">
        <f>IF(ABS(AF26)&lt;10,SIGN(AF26)*ERF(ABS(AF26)),SIGN(AF26))</f>
        <v>0.8295918152001898</v>
      </c>
      <c r="AH26" s="193">
        <f t="shared" si="17"/>
        <v>1.2335011900960353</v>
      </c>
      <c r="AI26" s="193">
        <f t="shared" si="18"/>
        <v>0.7052351557936646</v>
      </c>
    </row>
    <row r="27" spans="1:35" s="26" customFormat="1" ht="15" customHeight="1">
      <c r="A27" s="262">
        <f t="shared" si="23"/>
        <v>10.5</v>
      </c>
      <c r="B27" s="271">
        <f t="shared" si="29"/>
        <v>-34.53681337649093</v>
      </c>
      <c r="C27" s="128">
        <f t="shared" si="30"/>
        <v>0.27342</v>
      </c>
      <c r="D27" s="143">
        <f t="shared" si="31"/>
        <v>13535.856515026946</v>
      </c>
      <c r="E27" s="143">
        <f t="shared" si="32"/>
        <v>31746.031746031746</v>
      </c>
      <c r="F27" s="105">
        <f t="shared" si="19"/>
        <v>71.92385889033297</v>
      </c>
      <c r="G27" s="105">
        <f t="shared" si="0"/>
        <v>83.58746391068209</v>
      </c>
      <c r="H27" s="50">
        <f t="shared" si="1"/>
        <v>1.8384157783820494</v>
      </c>
      <c r="I27" s="49">
        <f t="shared" si="2"/>
        <v>5.293817120282698</v>
      </c>
      <c r="J27" s="49">
        <f t="shared" si="24"/>
        <v>-0.48756193488719224</v>
      </c>
      <c r="K27" s="49">
        <f t="shared" si="3"/>
        <v>0</v>
      </c>
      <c r="L27" s="49">
        <f t="shared" si="4"/>
        <v>0</v>
      </c>
      <c r="M27" s="49">
        <f t="shared" si="25"/>
        <v>0.0004019741529172783</v>
      </c>
      <c r="N27" s="49">
        <f t="shared" si="20"/>
        <v>0.0436602538448989</v>
      </c>
      <c r="O27" s="49">
        <f t="shared" si="5"/>
        <v>0.12579723240612245</v>
      </c>
      <c r="P27" s="205">
        <f t="shared" si="6"/>
        <v>4.995612454233568</v>
      </c>
      <c r="Q27" s="49">
        <f t="shared" si="7"/>
        <v>0</v>
      </c>
      <c r="R27" s="197">
        <f t="shared" si="8"/>
        <v>0.4065492282009835</v>
      </c>
      <c r="S27" s="53">
        <f t="shared" si="26"/>
        <v>7.708239613116753</v>
      </c>
      <c r="T27" s="49">
        <f t="shared" si="9"/>
        <v>7.293817120282698</v>
      </c>
      <c r="U27" s="49">
        <f t="shared" si="10"/>
        <v>2.4144224928340545</v>
      </c>
      <c r="V27" s="54">
        <f t="shared" si="11"/>
        <v>0.29176038688324724</v>
      </c>
      <c r="W27" s="97">
        <f t="shared" si="12"/>
        <v>-11.69597880271725</v>
      </c>
      <c r="X27" s="25">
        <f t="shared" si="27"/>
        <v>-0.15781400263748901</v>
      </c>
      <c r="Y27" s="23">
        <f t="shared" si="13"/>
        <v>7.2251161662386725</v>
      </c>
      <c r="Z27" s="23">
        <f t="shared" si="14"/>
        <v>2.2295037120051053</v>
      </c>
      <c r="AA27" s="205">
        <f>ERF(AH27)+ERF(AI27)-1</f>
        <v>0.5963531249491707</v>
      </c>
      <c r="AB27" s="52">
        <f t="shared" si="15"/>
        <v>8</v>
      </c>
      <c r="AC27" s="136">
        <f t="shared" si="21"/>
        <v>10</v>
      </c>
      <c r="AD27" s="137">
        <f t="shared" si="28"/>
        <v>9.9</v>
      </c>
      <c r="AE27" s="199">
        <f t="shared" si="22"/>
        <v>0</v>
      </c>
      <c r="AF27" s="154">
        <f t="shared" si="16"/>
        <v>0.9645052042836401</v>
      </c>
      <c r="AG27" s="177">
        <f>IF(ABS(AF27)&lt;10,SIGN(AF27)*ERF(ABS(AF27)),SIGN(AF27))</f>
        <v>0.8274375080716613</v>
      </c>
      <c r="AH27" s="193">
        <f t="shared" si="17"/>
        <v>1.2273131618541142</v>
      </c>
      <c r="AI27" s="193">
        <f t="shared" si="18"/>
        <v>0.7016972467131658</v>
      </c>
    </row>
    <row r="28" spans="1:35" s="26" customFormat="1" ht="15" customHeight="1">
      <c r="A28" s="262">
        <f t="shared" si="23"/>
        <v>10.75</v>
      </c>
      <c r="B28" s="271">
        <f t="shared" si="29"/>
        <v>-35.35911845688357</v>
      </c>
      <c r="C28" s="128">
        <f t="shared" si="30"/>
        <v>0.27992999999999996</v>
      </c>
      <c r="D28" s="143">
        <f t="shared" si="31"/>
        <v>13221.069154212362</v>
      </c>
      <c r="E28" s="143">
        <f t="shared" si="32"/>
        <v>31007.751937984493</v>
      </c>
      <c r="F28" s="105">
        <f t="shared" si="19"/>
        <v>72.41996766555629</v>
      </c>
      <c r="G28" s="105">
        <f t="shared" si="0"/>
        <v>84.01472705438773</v>
      </c>
      <c r="H28" s="50">
        <f t="shared" si="1"/>
        <v>1.8676073213073372</v>
      </c>
      <c r="I28" s="49">
        <f t="shared" si="2"/>
        <v>5.419860385051333</v>
      </c>
      <c r="J28" s="49">
        <f t="shared" si="24"/>
        <v>-0.49917055238450625</v>
      </c>
      <c r="K28" s="49">
        <f t="shared" si="3"/>
        <v>0</v>
      </c>
      <c r="L28" s="49">
        <f t="shared" si="4"/>
        <v>0</v>
      </c>
      <c r="M28" s="49">
        <f t="shared" si="25"/>
        <v>0.0003999298834625591</v>
      </c>
      <c r="N28" s="49">
        <f t="shared" si="20"/>
        <v>0.04343598074781429</v>
      </c>
      <c r="O28" s="49">
        <f t="shared" si="5"/>
        <v>0.12867392573608197</v>
      </c>
      <c r="P28" s="205">
        <f t="shared" si="6"/>
        <v>4.995612454233568</v>
      </c>
      <c r="Q28" s="49">
        <f t="shared" si="7"/>
        <v>0</v>
      </c>
      <c r="R28" s="197">
        <f t="shared" si="8"/>
        <v>0.40688475623260567</v>
      </c>
      <c r="S28" s="53">
        <f t="shared" si="26"/>
        <v>7.8664623690751725</v>
      </c>
      <c r="T28" s="49">
        <f t="shared" si="9"/>
        <v>7.419860385051333</v>
      </c>
      <c r="U28" s="49">
        <f t="shared" si="10"/>
        <v>2.4466019840238395</v>
      </c>
      <c r="V28" s="54">
        <f t="shared" si="11"/>
        <v>0.1335376309248275</v>
      </c>
      <c r="W28" s="97">
        <f t="shared" si="12"/>
        <v>-11.822357595517506</v>
      </c>
      <c r="X28" s="25">
        <f t="shared" si="27"/>
        <v>-0.1586339331302593</v>
      </c>
      <c r="Y28" s="23">
        <f t="shared" si="13"/>
        <v>7.2251161662386725</v>
      </c>
      <c r="Z28" s="23">
        <f t="shared" si="14"/>
        <v>2.2295037120051053</v>
      </c>
      <c r="AA28" s="205">
        <f>ERF(AH28)+ERF(AI28)-1</f>
        <v>0.5923123558098735</v>
      </c>
      <c r="AB28" s="52">
        <f t="shared" si="15"/>
        <v>8</v>
      </c>
      <c r="AC28" s="136">
        <f t="shared" si="21"/>
        <v>10</v>
      </c>
      <c r="AD28" s="137">
        <f t="shared" si="28"/>
        <v>9.9</v>
      </c>
      <c r="AE28" s="199">
        <f t="shared" si="22"/>
        <v>0</v>
      </c>
      <c r="AF28" s="154">
        <f t="shared" si="16"/>
        <v>0.9596001413244293</v>
      </c>
      <c r="AG28" s="177">
        <f>IF(ABS(AF28)&lt;10,SIGN(AF28)*ERF(ABS(AF28)),SIGN(AF28))</f>
        <v>0.8252439839937816</v>
      </c>
      <c r="AH28" s="193">
        <f t="shared" si="17"/>
        <v>1.2210715694782246</v>
      </c>
      <c r="AI28" s="193">
        <f t="shared" si="18"/>
        <v>0.6981287131706337</v>
      </c>
    </row>
    <row r="29" spans="1:35" s="26" customFormat="1" ht="15" customHeight="1">
      <c r="A29" s="262">
        <f t="shared" si="23"/>
        <v>11</v>
      </c>
      <c r="B29" s="271">
        <f t="shared" si="29"/>
        <v>-36.18142353727622</v>
      </c>
      <c r="C29" s="128">
        <f t="shared" si="30"/>
        <v>0.28644</v>
      </c>
      <c r="D29" s="143">
        <f t="shared" si="31"/>
        <v>12920.590309798446</v>
      </c>
      <c r="E29" s="143">
        <f t="shared" si="32"/>
        <v>30303.0303030303</v>
      </c>
      <c r="F29" s="105">
        <f t="shared" si="19"/>
        <v>72.92425455555917</v>
      </c>
      <c r="G29" s="105">
        <f t="shared" si="0"/>
        <v>84.4498049010597</v>
      </c>
      <c r="H29" s="50">
        <f t="shared" si="1"/>
        <v>1.8975113965968629</v>
      </c>
      <c r="I29" s="49">
        <f t="shared" si="2"/>
        <v>5.5459036498199685</v>
      </c>
      <c r="J29" s="49">
        <f t="shared" si="24"/>
        <v>-0.5107791698818204</v>
      </c>
      <c r="K29" s="49">
        <f t="shared" si="3"/>
        <v>0</v>
      </c>
      <c r="L29" s="49">
        <f t="shared" si="4"/>
        <v>0</v>
      </c>
      <c r="M29" s="49">
        <f t="shared" si="25"/>
        <v>0.00039786948044895224</v>
      </c>
      <c r="N29" s="49">
        <f t="shared" si="20"/>
        <v>0.04320996110299996</v>
      </c>
      <c r="O29" s="49">
        <f t="shared" si="5"/>
        <v>0.1316647039633422</v>
      </c>
      <c r="P29" s="205">
        <f t="shared" si="6"/>
        <v>4.995612454233568</v>
      </c>
      <c r="Q29" s="49">
        <f t="shared" si="7"/>
        <v>0</v>
      </c>
      <c r="R29" s="197">
        <f t="shared" si="8"/>
        <v>0.407217767894098</v>
      </c>
      <c r="S29" s="53">
        <f t="shared" si="26"/>
        <v>8.025507479377271</v>
      </c>
      <c r="T29" s="49">
        <f t="shared" si="9"/>
        <v>7.5459036498199685</v>
      </c>
      <c r="U29" s="49">
        <f t="shared" si="10"/>
        <v>2.479603829557303</v>
      </c>
      <c r="V29" s="54">
        <f t="shared" si="11"/>
        <v>-0.02550747937727138</v>
      </c>
      <c r="W29" s="97">
        <f t="shared" si="12"/>
        <v>-11.948733871947635</v>
      </c>
      <c r="X29" s="25">
        <f t="shared" si="27"/>
        <v>-0.15945914150245333</v>
      </c>
      <c r="Y29" s="23">
        <f t="shared" si="13"/>
        <v>7.2251161662386725</v>
      </c>
      <c r="Z29" s="23">
        <f t="shared" si="14"/>
        <v>2.2295037120051053</v>
      </c>
      <c r="AA29" s="205">
        <f>ERF(AH29)+ERF(AI29)-1</f>
        <v>0.5882027946081829</v>
      </c>
      <c r="AB29" s="52">
        <f t="shared" si="15"/>
        <v>8</v>
      </c>
      <c r="AC29" s="136">
        <f t="shared" si="21"/>
        <v>10</v>
      </c>
      <c r="AD29" s="137">
        <f t="shared" si="28"/>
        <v>9.9</v>
      </c>
      <c r="AE29" s="199">
        <f t="shared" si="22"/>
        <v>0</v>
      </c>
      <c r="AF29" s="154">
        <f t="shared" si="16"/>
        <v>0.9546563671660083</v>
      </c>
      <c r="AG29" s="177">
        <f>IF(ABS(AF29)&lt;10,SIGN(AF29)*ERF(ABS(AF29)),SIGN(AF29))</f>
        <v>0.82301215460257</v>
      </c>
      <c r="AH29" s="193">
        <f t="shared" si="17"/>
        <v>1.2147807178924412</v>
      </c>
      <c r="AI29" s="193">
        <f t="shared" si="18"/>
        <v>0.6945320164395755</v>
      </c>
    </row>
    <row r="30" spans="1:35" s="20" customFormat="1" ht="15" customHeight="1">
      <c r="A30" s="261">
        <f t="shared" si="23"/>
        <v>11.25</v>
      </c>
      <c r="B30" s="270">
        <f t="shared" si="29"/>
        <v>-37.003728617668855</v>
      </c>
      <c r="C30" s="127">
        <f t="shared" si="30"/>
        <v>0.29295</v>
      </c>
      <c r="D30" s="142">
        <f t="shared" si="31"/>
        <v>12633.466080691815</v>
      </c>
      <c r="E30" s="142">
        <f t="shared" si="32"/>
        <v>29629.629629629628</v>
      </c>
      <c r="F30" s="104">
        <f t="shared" si="19"/>
        <v>73.43655108382919</v>
      </c>
      <c r="G30" s="104">
        <f t="shared" si="0"/>
        <v>84.89257729878925</v>
      </c>
      <c r="H30" s="98">
        <f t="shared" si="1"/>
        <v>1.9281289039146823</v>
      </c>
      <c r="I30" s="95">
        <f t="shared" si="2"/>
        <v>5.671946914588605</v>
      </c>
      <c r="J30" s="95">
        <f t="shared" si="24"/>
        <v>-0.5223877873791345</v>
      </c>
      <c r="K30" s="95">
        <f t="shared" si="3"/>
        <v>0</v>
      </c>
      <c r="L30" s="95">
        <f t="shared" si="4"/>
        <v>0</v>
      </c>
      <c r="M30" s="95">
        <f t="shared" si="25"/>
        <v>0.00039579432111880536</v>
      </c>
      <c r="N30" s="95">
        <f t="shared" si="20"/>
        <v>0.042982346513586706</v>
      </c>
      <c r="O30" s="95">
        <f t="shared" si="5"/>
        <v>0.13477370027271535</v>
      </c>
      <c r="P30" s="207">
        <f t="shared" si="6"/>
        <v>4.995612454233568</v>
      </c>
      <c r="Q30" s="95">
        <f t="shared" si="7"/>
        <v>0</v>
      </c>
      <c r="R30" s="196">
        <f t="shared" si="8"/>
        <v>0.40754878679049034</v>
      </c>
      <c r="S30" s="96">
        <f t="shared" si="26"/>
        <v>8.18538065208008</v>
      </c>
      <c r="T30" s="95">
        <f t="shared" si="9"/>
        <v>7.671946914588605</v>
      </c>
      <c r="U30" s="95">
        <f t="shared" si="10"/>
        <v>2.513433737491474</v>
      </c>
      <c r="V30" s="100">
        <f t="shared" si="11"/>
        <v>-0.18538065208007914</v>
      </c>
      <c r="W30" s="101">
        <f t="shared" si="12"/>
        <v>-12.075108155612662</v>
      </c>
      <c r="X30" s="27">
        <f t="shared" si="27"/>
        <v>-0.1602900005572021</v>
      </c>
      <c r="Y30" s="18">
        <f t="shared" si="13"/>
        <v>7.2251161662386725</v>
      </c>
      <c r="Z30" s="18">
        <f t="shared" si="14"/>
        <v>2.2295037120051053</v>
      </c>
      <c r="AA30" s="207">
        <f>ERF(AH30)+ERF(AI30)-1</f>
        <v>0.5840260661884449</v>
      </c>
      <c r="AB30" s="99">
        <f t="shared" si="15"/>
        <v>8</v>
      </c>
      <c r="AC30" s="183">
        <f t="shared" si="21"/>
        <v>10</v>
      </c>
      <c r="AD30" s="184">
        <f t="shared" si="28"/>
        <v>9.9</v>
      </c>
      <c r="AE30" s="198">
        <f t="shared" si="22"/>
        <v>0</v>
      </c>
      <c r="AF30" s="153">
        <f t="shared" si="16"/>
        <v>0.9496771863925215</v>
      </c>
      <c r="AG30" s="176">
        <f>IF(ABS(AF30)&lt;10,SIGN(AF30)*ERF(ABS(AF30)),SIGN(AF30))</f>
        <v>0.8207429460710626</v>
      </c>
      <c r="AH30" s="191">
        <f t="shared" si="17"/>
        <v>1.2084448121125546</v>
      </c>
      <c r="AI30" s="191">
        <f t="shared" si="18"/>
        <v>0.6909095606724883</v>
      </c>
    </row>
    <row r="31" spans="1:35" s="26" customFormat="1" ht="15" customHeight="1">
      <c r="A31" s="262">
        <f t="shared" si="23"/>
        <v>11.5</v>
      </c>
      <c r="B31" s="271">
        <f t="shared" si="29"/>
        <v>-37.8260336980615</v>
      </c>
      <c r="C31" s="128">
        <f t="shared" si="30"/>
        <v>0.29945999999999995</v>
      </c>
      <c r="D31" s="143">
        <f t="shared" si="31"/>
        <v>12358.825513720252</v>
      </c>
      <c r="E31" s="143">
        <f t="shared" si="32"/>
        <v>28985.50724637681</v>
      </c>
      <c r="F31" s="105">
        <f t="shared" si="19"/>
        <v>73.95669080273807</v>
      </c>
      <c r="G31" s="105">
        <f t="shared" si="0"/>
        <v>85.34292448606887</v>
      </c>
      <c r="H31" s="50">
        <f t="shared" si="1"/>
        <v>1.9594607421285257</v>
      </c>
      <c r="I31" s="49">
        <f t="shared" si="2"/>
        <v>5.79799017935724</v>
      </c>
      <c r="J31" s="49">
        <f t="shared" si="24"/>
        <v>-0.5339964048764486</v>
      </c>
      <c r="K31" s="49">
        <f t="shared" si="3"/>
        <v>0</v>
      </c>
      <c r="L31" s="49">
        <f t="shared" si="4"/>
        <v>0</v>
      </c>
      <c r="M31" s="49">
        <f t="shared" si="25"/>
        <v>0.0003937057489222176</v>
      </c>
      <c r="N31" s="49">
        <f t="shared" si="20"/>
        <v>0.04275328481707624</v>
      </c>
      <c r="O31" s="49">
        <f t="shared" si="5"/>
        <v>0.13800522966477388</v>
      </c>
      <c r="P31" s="205">
        <f t="shared" si="6"/>
        <v>4.995612454233568</v>
      </c>
      <c r="Q31" s="49">
        <f t="shared" si="7"/>
        <v>0</v>
      </c>
      <c r="R31" s="197">
        <f t="shared" si="8"/>
        <v>0.4078780445240602</v>
      </c>
      <c r="S31" s="53">
        <f t="shared" si="26"/>
        <v>8.346087480491676</v>
      </c>
      <c r="T31" s="49">
        <f t="shared" si="9"/>
        <v>7.79799017935724</v>
      </c>
      <c r="U31" s="49">
        <f t="shared" si="10"/>
        <v>2.548097301134436</v>
      </c>
      <c r="V31" s="54">
        <f t="shared" si="11"/>
        <v>-0.3460874804916756</v>
      </c>
      <c r="W31" s="97">
        <f t="shared" si="12"/>
        <v>-12.201480678114867</v>
      </c>
      <c r="X31" s="25">
        <f t="shared" si="27"/>
        <v>-0.1611266512714753</v>
      </c>
      <c r="Y31" s="23">
        <f t="shared" si="13"/>
        <v>7.2251161662386725</v>
      </c>
      <c r="Z31" s="23">
        <f t="shared" si="14"/>
        <v>2.2295037120051053</v>
      </c>
      <c r="AA31" s="205">
        <f>ERF(AH31)+ERF(AI31)-1</f>
        <v>0.5797838600266667</v>
      </c>
      <c r="AB31" s="52">
        <f t="shared" si="15"/>
        <v>8</v>
      </c>
      <c r="AC31" s="136">
        <f t="shared" si="21"/>
        <v>10</v>
      </c>
      <c r="AD31" s="137">
        <f t="shared" si="28"/>
        <v>9.9</v>
      </c>
      <c r="AE31" s="199">
        <f t="shared" si="22"/>
        <v>0</v>
      </c>
      <c r="AF31" s="154">
        <f t="shared" si="16"/>
        <v>0.9446658225062827</v>
      </c>
      <c r="AG31" s="177">
        <f>IF(ABS(AF31)&lt;10,SIGN(AF31)*ERF(ABS(AF31)),SIGN(AF31))</f>
        <v>0.8184372979489001</v>
      </c>
      <c r="AH31" s="193">
        <f t="shared" si="17"/>
        <v>1.2020679539793842</v>
      </c>
      <c r="AI31" s="193">
        <f t="shared" si="18"/>
        <v>0.6872636910331811</v>
      </c>
    </row>
    <row r="32" spans="1:35" s="26" customFormat="1" ht="15" customHeight="1">
      <c r="A32" s="262">
        <f t="shared" si="23"/>
        <v>11.75</v>
      </c>
      <c r="B32" s="271">
        <f t="shared" si="29"/>
        <v>-38.64833877845414</v>
      </c>
      <c r="C32" s="128">
        <f t="shared" si="30"/>
        <v>0.30596999999999996</v>
      </c>
      <c r="D32" s="143">
        <f t="shared" si="31"/>
        <v>12095.87177938578</v>
      </c>
      <c r="E32" s="143">
        <f t="shared" si="32"/>
        <v>28368.79432624113</v>
      </c>
      <c r="F32" s="105">
        <f t="shared" si="19"/>
        <v>74.48450940092064</v>
      </c>
      <c r="G32" s="105">
        <f t="shared" si="0"/>
        <v>85.80072718828721</v>
      </c>
      <c r="H32" s="50">
        <f t="shared" si="1"/>
        <v>1.9915073109918642</v>
      </c>
      <c r="I32" s="49">
        <f t="shared" si="2"/>
        <v>5.924033444125876</v>
      </c>
      <c r="J32" s="49">
        <f t="shared" si="24"/>
        <v>-0.5456050223737627</v>
      </c>
      <c r="K32" s="49">
        <f t="shared" si="3"/>
        <v>0</v>
      </c>
      <c r="L32" s="49">
        <f t="shared" si="4"/>
        <v>0</v>
      </c>
      <c r="M32" s="49">
        <f t="shared" si="25"/>
        <v>0.0003916050726034731</v>
      </c>
      <c r="N32" s="49">
        <f t="shared" si="20"/>
        <v>0.04252291998608336</v>
      </c>
      <c r="O32" s="49">
        <f t="shared" si="5"/>
        <v>0.1413638460350098</v>
      </c>
      <c r="P32" s="205">
        <f t="shared" si="6"/>
        <v>4.995612454233568</v>
      </c>
      <c r="Q32" s="49">
        <f t="shared" si="7"/>
        <v>0</v>
      </c>
      <c r="R32" s="197">
        <f t="shared" si="8"/>
        <v>0.4082064334841964</v>
      </c>
      <c r="S32" s="53">
        <f t="shared" si="26"/>
        <v>8.50763395462303</v>
      </c>
      <c r="T32" s="49">
        <f t="shared" si="9"/>
        <v>7.924033444125876</v>
      </c>
      <c r="U32" s="49">
        <f t="shared" si="10"/>
        <v>2.5836005104971536</v>
      </c>
      <c r="V32" s="54">
        <f t="shared" si="11"/>
        <v>-0.5076339546230297</v>
      </c>
      <c r="W32" s="97">
        <f t="shared" si="12"/>
        <v>-12.32785233184364</v>
      </c>
      <c r="X32" s="25">
        <f t="shared" si="27"/>
        <v>-0.16196945273342056</v>
      </c>
      <c r="Y32" s="23">
        <f t="shared" si="13"/>
        <v>7.2251161662386725</v>
      </c>
      <c r="Z32" s="23">
        <f t="shared" si="14"/>
        <v>2.2295037120051053</v>
      </c>
      <c r="AA32" s="205">
        <f>ERF(AH32)+ERF(AI32)-1</f>
        <v>0.5754778674275476</v>
      </c>
      <c r="AB32" s="52">
        <f t="shared" si="15"/>
        <v>8</v>
      </c>
      <c r="AC32" s="136">
        <f t="shared" si="21"/>
        <v>10</v>
      </c>
      <c r="AD32" s="137">
        <f t="shared" si="28"/>
        <v>9.9</v>
      </c>
      <c r="AE32" s="199">
        <f t="shared" si="22"/>
        <v>0</v>
      </c>
      <c r="AF32" s="154">
        <f t="shared" si="16"/>
        <v>0.9396254157357473</v>
      </c>
      <c r="AG32" s="177">
        <f>IF(ABS(AF32)&lt;10,SIGN(AF32)*ERF(ABS(AF32)),SIGN(AF32))</f>
        <v>0.8160961987663417</v>
      </c>
      <c r="AH32" s="193">
        <f t="shared" si="17"/>
        <v>1.195654139369466</v>
      </c>
      <c r="AI32" s="193">
        <f t="shared" si="18"/>
        <v>0.6835966921020287</v>
      </c>
    </row>
    <row r="33" spans="1:35" s="26" customFormat="1" ht="15" customHeight="1">
      <c r="A33" s="262">
        <f t="shared" si="23"/>
        <v>12</v>
      </c>
      <c r="B33" s="271">
        <f t="shared" si="29"/>
        <v>-39.470643858846785</v>
      </c>
      <c r="C33" s="128">
        <f t="shared" si="30"/>
        <v>0.31248</v>
      </c>
      <c r="D33" s="143">
        <f t="shared" si="31"/>
        <v>11843.874450648573</v>
      </c>
      <c r="E33" s="143">
        <f t="shared" si="32"/>
        <v>27777.777777777777</v>
      </c>
      <c r="F33" s="105">
        <f t="shared" si="19"/>
        <v>75.01984479922602</v>
      </c>
      <c r="G33" s="105">
        <f t="shared" si="0"/>
        <v>86.26586670893079</v>
      </c>
      <c r="H33" s="50">
        <f t="shared" si="1"/>
        <v>2.0242704912227856</v>
      </c>
      <c r="I33" s="49">
        <f t="shared" si="2"/>
        <v>6.050076708894512</v>
      </c>
      <c r="J33" s="49">
        <f t="shared" si="24"/>
        <v>-0.5572136398710769</v>
      </c>
      <c r="K33" s="49">
        <f t="shared" si="3"/>
        <v>0</v>
      </c>
      <c r="L33" s="49">
        <f t="shared" si="4"/>
        <v>0</v>
      </c>
      <c r="M33" s="49">
        <f t="shared" si="25"/>
        <v>0.00038949356543729614</v>
      </c>
      <c r="N33" s="49">
        <f t="shared" si="20"/>
        <v>0.04229139204570974</v>
      </c>
      <c r="O33" s="49">
        <f t="shared" si="5"/>
        <v>0.14485434730338376</v>
      </c>
      <c r="P33" s="205">
        <f t="shared" si="6"/>
        <v>4.995612454233568</v>
      </c>
      <c r="Q33" s="49">
        <f t="shared" si="7"/>
        <v>0</v>
      </c>
      <c r="R33" s="197">
        <f t="shared" si="8"/>
        <v>0.4085334464921253</v>
      </c>
      <c r="S33" s="53">
        <f t="shared" si="26"/>
        <v>8.670026385958517</v>
      </c>
      <c r="T33" s="49">
        <f t="shared" si="9"/>
        <v>8.050076708894512</v>
      </c>
      <c r="U33" s="49">
        <f t="shared" si="10"/>
        <v>2.619949677064005</v>
      </c>
      <c r="V33" s="54">
        <f t="shared" si="11"/>
        <v>-0.6700263859585167</v>
      </c>
      <c r="W33" s="97">
        <f t="shared" si="12"/>
        <v>-12.454222609620205</v>
      </c>
      <c r="X33" s="25">
        <f t="shared" si="27"/>
        <v>-0.16281873750012288</v>
      </c>
      <c r="Y33" s="23">
        <f t="shared" si="13"/>
        <v>7.2251161662386725</v>
      </c>
      <c r="Z33" s="23">
        <f t="shared" si="14"/>
        <v>2.2295037120051053</v>
      </c>
      <c r="AA33" s="205">
        <f>ERF(AH33)+ERF(AI33)-1</f>
        <v>0.5711097917050119</v>
      </c>
      <c r="AB33" s="52">
        <f t="shared" si="15"/>
        <v>8</v>
      </c>
      <c r="AC33" s="136">
        <f t="shared" si="21"/>
        <v>10</v>
      </c>
      <c r="AD33" s="137">
        <f t="shared" si="28"/>
        <v>9.9</v>
      </c>
      <c r="AE33" s="199">
        <f t="shared" si="22"/>
        <v>0</v>
      </c>
      <c r="AF33" s="154">
        <f t="shared" si="16"/>
        <v>0.9345590212029652</v>
      </c>
      <c r="AG33" s="177">
        <f>IF(ABS(AF33)&lt;10,SIGN(AF33)*ERF(ABS(AF33)),SIGN(AF33))</f>
        <v>0.8137205409635465</v>
      </c>
      <c r="AH33" s="193">
        <f t="shared" si="17"/>
        <v>1.1892072558631737</v>
      </c>
      <c r="AI33" s="193">
        <f t="shared" si="18"/>
        <v>0.6799107865427566</v>
      </c>
    </row>
    <row r="34" spans="1:35" s="26" customFormat="1" ht="15" customHeight="1">
      <c r="A34" s="262">
        <f t="shared" si="23"/>
        <v>12.25</v>
      </c>
      <c r="B34" s="271">
        <f t="shared" si="29"/>
        <v>-40.29294893923942</v>
      </c>
      <c r="C34" s="128">
        <f t="shared" si="30"/>
        <v>0.31898999999999994</v>
      </c>
      <c r="D34" s="143">
        <f t="shared" si="31"/>
        <v>11602.16272716595</v>
      </c>
      <c r="E34" s="143">
        <f t="shared" si="32"/>
        <v>27210.884353741494</v>
      </c>
      <c r="F34" s="105">
        <f t="shared" si="19"/>
        <v>75.5625372357504</v>
      </c>
      <c r="G34" s="105">
        <f t="shared" si="0"/>
        <v>86.73822501554443</v>
      </c>
      <c r="H34" s="50">
        <f t="shared" si="1"/>
        <v>2.0577507635668804</v>
      </c>
      <c r="I34" s="49">
        <f t="shared" si="2"/>
        <v>6.176119973663147</v>
      </c>
      <c r="J34" s="49">
        <f t="shared" si="24"/>
        <v>-0.5688222573683909</v>
      </c>
      <c r="K34" s="49">
        <f t="shared" si="3"/>
        <v>0</v>
      </c>
      <c r="L34" s="49">
        <f t="shared" si="4"/>
        <v>0</v>
      </c>
      <c r="M34" s="49">
        <f>$P$5*10^9*($J$5/G34)*10^($B$8/10)</f>
        <v>0.0003873724646080608</v>
      </c>
      <c r="N34" s="49">
        <f t="shared" si="20"/>
        <v>0.04205883700676301</v>
      </c>
      <c r="O34" s="49">
        <f t="shared" si="5"/>
        <v>0.14848179022009556</v>
      </c>
      <c r="P34" s="205">
        <f t="shared" si="6"/>
        <v>4.995612454233568</v>
      </c>
      <c r="Q34" s="49">
        <f t="shared" si="7"/>
        <v>0</v>
      </c>
      <c r="R34" s="197">
        <f t="shared" si="8"/>
        <v>0.4088600651663885</v>
      </c>
      <c r="S34" s="53">
        <f t="shared" si="26"/>
        <v>8.833271429623275</v>
      </c>
      <c r="T34" s="49">
        <f t="shared" si="9"/>
        <v>8.176119973663148</v>
      </c>
      <c r="U34" s="49">
        <f t="shared" si="10"/>
        <v>2.657151455960128</v>
      </c>
      <c r="V34" s="54">
        <f t="shared" si="11"/>
        <v>-0.8332714296232755</v>
      </c>
      <c r="W34" s="97">
        <f t="shared" si="12"/>
        <v>-12.580592493063104</v>
      </c>
      <c r="X34" s="25">
        <f t="shared" si="27"/>
        <v>-0.16367486105909812</v>
      </c>
      <c r="Y34" s="23">
        <f t="shared" si="13"/>
        <v>7.2251161662386725</v>
      </c>
      <c r="Z34" s="23">
        <f t="shared" si="14"/>
        <v>2.2295037120051053</v>
      </c>
      <c r="AA34" s="205">
        <f>ERF(AH34)+ERF(AI34)-1</f>
        <v>0.5666813464475007</v>
      </c>
      <c r="AB34" s="52">
        <f t="shared" si="15"/>
        <v>8</v>
      </c>
      <c r="AC34" s="136">
        <f t="shared" si="21"/>
        <v>10</v>
      </c>
      <c r="AD34" s="137">
        <f t="shared" si="28"/>
        <v>9.9</v>
      </c>
      <c r="AE34" s="199">
        <f t="shared" si="22"/>
        <v>0</v>
      </c>
      <c r="AF34" s="154">
        <f t="shared" si="16"/>
        <v>0.9294696074340435</v>
      </c>
      <c r="AG34" s="177">
        <f>IF(ABS(AF34)&lt;10,SIGN(AF34)*ERF(ABS(AF34)),SIGN(AF34))</f>
        <v>0.8113113307934081</v>
      </c>
      <c r="AH34" s="193">
        <f t="shared" si="17"/>
        <v>1.182731080849314</v>
      </c>
      <c r="AI34" s="193">
        <f t="shared" si="18"/>
        <v>0.6762081340187728</v>
      </c>
    </row>
    <row r="35" spans="1:35" s="78" customFormat="1" ht="15" customHeight="1">
      <c r="A35" s="263">
        <f t="shared" si="23"/>
        <v>12.5</v>
      </c>
      <c r="B35" s="272">
        <f>A35*$B$3</f>
        <v>-41.11525401963206</v>
      </c>
      <c r="C35" s="129">
        <f>A35*$Z$4</f>
        <v>0.32549999999999996</v>
      </c>
      <c r="D35" s="144">
        <f t="shared" si="31"/>
        <v>11370.119472622633</v>
      </c>
      <c r="E35" s="144">
        <f>$E$7/A35</f>
        <v>26666.666666666664</v>
      </c>
      <c r="F35" s="106">
        <f t="shared" si="19"/>
        <v>76.11242934047277</v>
      </c>
      <c r="G35" s="106">
        <f t="shared" si="0"/>
        <v>87.21768482051971</v>
      </c>
      <c r="H35" s="75">
        <f t="shared" si="1"/>
        <v>2.0919491003732134</v>
      </c>
      <c r="I35" s="74">
        <f t="shared" si="2"/>
        <v>6.302163238431782</v>
      </c>
      <c r="J35" s="74">
        <f t="shared" si="24"/>
        <v>-0.5804308748657049</v>
      </c>
      <c r="K35" s="74">
        <f t="shared" si="3"/>
        <v>0</v>
      </c>
      <c r="L35" s="74">
        <f t="shared" si="4"/>
        <v>0</v>
      </c>
      <c r="M35" s="74">
        <f>$P$5*10^9*($J$5/G35)*10^($B$8/10)</f>
        <v>0.00038524297072484236</v>
      </c>
      <c r="N35" s="74">
        <f t="shared" si="20"/>
        <v>0.041825386814035546</v>
      </c>
      <c r="O35" s="74">
        <f t="shared" si="5"/>
        <v>0.15225150630041268</v>
      </c>
      <c r="P35" s="155">
        <f t="shared" si="6"/>
        <v>4.995612454233568</v>
      </c>
      <c r="Q35" s="74">
        <f t="shared" si="7"/>
        <v>0</v>
      </c>
      <c r="R35" s="195">
        <f t="shared" si="8"/>
        <v>0.40918687615726945</v>
      </c>
      <c r="S35" s="96">
        <f t="shared" si="26"/>
        <v>8.997376108076713</v>
      </c>
      <c r="T35" s="74">
        <f t="shared" si="9"/>
        <v>8.302163238431781</v>
      </c>
      <c r="U35" s="74">
        <f t="shared" si="10"/>
        <v>2.695212869644931</v>
      </c>
      <c r="V35" s="100">
        <f t="shared" si="11"/>
        <v>-0.997376108076713</v>
      </c>
      <c r="W35" s="101">
        <f t="shared" si="12"/>
        <v>-12.706962568822618</v>
      </c>
      <c r="X35" s="77"/>
      <c r="Y35" s="74">
        <f t="shared" si="13"/>
        <v>7.2251161662386725</v>
      </c>
      <c r="Z35" s="74">
        <f t="shared" si="14"/>
        <v>2.2295037120051053</v>
      </c>
      <c r="AA35" s="155">
        <f>ERF(AH35)+ERF(AI35)-1</f>
        <v>0.5621942537824274</v>
      </c>
      <c r="AB35" s="76">
        <f t="shared" si="15"/>
        <v>8</v>
      </c>
      <c r="AC35" s="186">
        <f t="shared" si="21"/>
        <v>10</v>
      </c>
      <c r="AD35" s="187">
        <f>ROUNDUP(E10,0)-0.1</f>
        <v>9.9</v>
      </c>
      <c r="AE35" s="200">
        <f t="shared" si="22"/>
        <v>0</v>
      </c>
      <c r="AF35" s="155">
        <f t="shared" si="16"/>
        <v>0.9243600551955516</v>
      </c>
      <c r="AG35" s="179">
        <f>IF(ABS(AF35)&lt;10,SIGN(AF35)*ERF(ABS(AF35)),SIGN(AF35))</f>
        <v>0.8088695492479607</v>
      </c>
      <c r="AH35" s="190">
        <f t="shared" si="17"/>
        <v>1.1762292800444758</v>
      </c>
      <c r="AI35" s="190">
        <f t="shared" si="18"/>
        <v>0.6724908303466274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5"/>
      <c r="S36" s="13"/>
      <c r="U36" s="13"/>
      <c r="V36" s="13"/>
      <c r="W36" s="14"/>
      <c r="AA36" s="5"/>
      <c r="AB36" s="6"/>
      <c r="AE36" s="201">
        <f>SUM(AE15:AE35)</f>
        <v>0.6057560600136727</v>
      </c>
    </row>
    <row r="37" spans="1:27" s="26" customFormat="1" ht="15" customHeight="1">
      <c r="A37" s="79" t="s">
        <v>60</v>
      </c>
      <c r="B37" s="22"/>
      <c r="C37" s="22"/>
      <c r="D37" s="21"/>
      <c r="E37" s="22"/>
      <c r="F37" s="22"/>
      <c r="G37" s="28"/>
      <c r="W37" s="31"/>
      <c r="X37" s="31"/>
      <c r="AA37" s="158"/>
    </row>
    <row r="38" spans="1:28" s="26" customFormat="1" ht="15" customHeight="1">
      <c r="A38" s="29" t="s">
        <v>108</v>
      </c>
      <c r="B38" s="22"/>
      <c r="C38" s="22"/>
      <c r="D38" s="21"/>
      <c r="E38" s="22"/>
      <c r="F38" s="22"/>
      <c r="G38" s="28"/>
      <c r="K38" s="23"/>
      <c r="L38" s="22"/>
      <c r="M38" s="23"/>
      <c r="N38" s="23"/>
      <c r="O38" s="23"/>
      <c r="P38" s="23"/>
      <c r="Q38" s="23"/>
      <c r="R38" s="59"/>
      <c r="S38" s="23"/>
      <c r="T38" s="30"/>
      <c r="U38" s="23"/>
      <c r="W38" s="31"/>
      <c r="X38" s="31"/>
      <c r="AA38" s="158"/>
      <c r="AB38" s="24"/>
    </row>
    <row r="39" spans="1:28" s="26" customFormat="1" ht="15" customHeight="1">
      <c r="A39" s="23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22"/>
      <c r="M39" s="23"/>
      <c r="N39" s="23"/>
      <c r="O39" s="23"/>
      <c r="P39" s="23"/>
      <c r="Q39" s="23"/>
      <c r="R39" s="59"/>
      <c r="S39" s="23"/>
      <c r="T39" s="30"/>
      <c r="U39" s="23"/>
      <c r="W39" s="31"/>
      <c r="X39" s="31"/>
      <c r="AA39" s="158"/>
      <c r="AB39" s="24"/>
    </row>
    <row r="40" spans="1:28" s="26" customFormat="1" ht="15" customHeight="1">
      <c r="A40" s="29"/>
      <c r="B40" s="164" t="s">
        <v>191</v>
      </c>
      <c r="C40" s="22"/>
      <c r="D40" s="21"/>
      <c r="E40" s="22"/>
      <c r="F40" s="22"/>
      <c r="G40" s="28"/>
      <c r="H40" s="23"/>
      <c r="I40" s="23"/>
      <c r="J40" s="23"/>
      <c r="K40" s="23"/>
      <c r="L40" s="22"/>
      <c r="M40" s="23"/>
      <c r="N40" s="23"/>
      <c r="O40" s="23"/>
      <c r="P40" s="23"/>
      <c r="Q40" s="23"/>
      <c r="R40" s="59"/>
      <c r="S40" s="23"/>
      <c r="T40" s="30"/>
      <c r="U40" s="23"/>
      <c r="W40" s="31"/>
      <c r="X40" s="31"/>
      <c r="AA40" s="158"/>
      <c r="AB40" s="24"/>
    </row>
    <row r="41" spans="1:28" s="26" customFormat="1" ht="15" customHeight="1">
      <c r="A41" s="24"/>
      <c r="B41" s="22"/>
      <c r="C41" s="22"/>
      <c r="D41" s="21"/>
      <c r="E41" s="22"/>
      <c r="F41" s="22"/>
      <c r="G41" s="28"/>
      <c r="H41" s="23"/>
      <c r="I41" s="23"/>
      <c r="J41" s="23"/>
      <c r="K41" s="23"/>
      <c r="L41" s="22"/>
      <c r="M41" s="23"/>
      <c r="N41" s="23"/>
      <c r="O41" s="23"/>
      <c r="P41" s="23"/>
      <c r="Q41" s="23"/>
      <c r="R41" s="59"/>
      <c r="S41" s="23"/>
      <c r="T41" s="30"/>
      <c r="U41" s="23"/>
      <c r="W41" s="31"/>
      <c r="X41" s="31"/>
      <c r="AA41" s="158"/>
      <c r="AB41" s="24"/>
    </row>
    <row r="42" spans="1:28" s="26" customFormat="1" ht="15" customHeight="1">
      <c r="A42" s="24"/>
      <c r="B42" s="22"/>
      <c r="C42" s="22"/>
      <c r="D42" s="21"/>
      <c r="E42" s="22"/>
      <c r="F42" s="22"/>
      <c r="G42" s="28"/>
      <c r="H42" s="23"/>
      <c r="I42" s="23"/>
      <c r="J42" s="23"/>
      <c r="K42" s="23"/>
      <c r="L42" s="22"/>
      <c r="M42" s="23"/>
      <c r="N42" s="23"/>
      <c r="O42" s="23"/>
      <c r="P42" s="23"/>
      <c r="Q42" s="23"/>
      <c r="R42" s="59"/>
      <c r="S42" s="23"/>
      <c r="T42" s="30"/>
      <c r="U42" s="23"/>
      <c r="W42" s="31"/>
      <c r="X42" s="31"/>
      <c r="AA42" s="158"/>
      <c r="AB42" s="24"/>
    </row>
    <row r="43" spans="1:28" s="26" customFormat="1" ht="15" customHeight="1">
      <c r="A43" s="28"/>
      <c r="D43" s="21"/>
      <c r="E43" s="22"/>
      <c r="F43" s="22"/>
      <c r="G43" s="28"/>
      <c r="H43" s="23"/>
      <c r="I43" s="23"/>
      <c r="J43" s="23"/>
      <c r="K43" s="23"/>
      <c r="L43" s="22"/>
      <c r="M43" s="23"/>
      <c r="N43" s="23"/>
      <c r="O43" s="23"/>
      <c r="P43" s="23"/>
      <c r="Q43" s="23"/>
      <c r="R43" s="59"/>
      <c r="S43" s="23"/>
      <c r="T43" s="30"/>
      <c r="U43" s="23"/>
      <c r="W43" s="31"/>
      <c r="X43" s="31"/>
      <c r="AA43" s="158"/>
      <c r="AB43" s="24"/>
    </row>
    <row r="44" spans="1:28" s="26" customFormat="1" ht="15" customHeight="1">
      <c r="A44" s="28"/>
      <c r="B44" s="22"/>
      <c r="D44" s="21"/>
      <c r="E44" s="22"/>
      <c r="F44" s="22"/>
      <c r="G44" s="28"/>
      <c r="H44" s="23"/>
      <c r="I44" s="23"/>
      <c r="J44" s="23"/>
      <c r="K44" s="23"/>
      <c r="L44" s="22"/>
      <c r="M44" s="23"/>
      <c r="N44" s="23"/>
      <c r="O44" s="23"/>
      <c r="P44" s="23"/>
      <c r="Q44" s="23"/>
      <c r="R44" s="59"/>
      <c r="S44" s="23"/>
      <c r="T44" s="30"/>
      <c r="U44" s="23"/>
      <c r="W44" s="31"/>
      <c r="X44" s="31"/>
      <c r="AA44" s="158"/>
      <c r="AB44" s="24"/>
    </row>
    <row r="45" spans="1:28" s="26" customFormat="1" ht="15" customHeight="1">
      <c r="A45" s="28"/>
      <c r="B45" s="22"/>
      <c r="D45" s="21"/>
      <c r="E45" s="22"/>
      <c r="F45" s="22"/>
      <c r="G45" s="28"/>
      <c r="H45" s="23"/>
      <c r="I45" s="23"/>
      <c r="J45" s="23"/>
      <c r="K45" s="23"/>
      <c r="L45" s="22"/>
      <c r="M45" s="23"/>
      <c r="N45" s="23"/>
      <c r="O45" s="23"/>
      <c r="P45" s="23"/>
      <c r="Q45" s="23"/>
      <c r="R45" s="59"/>
      <c r="S45" s="23"/>
      <c r="T45" s="30"/>
      <c r="U45" s="23"/>
      <c r="W45" s="31"/>
      <c r="X45" s="31"/>
      <c r="AA45" s="158"/>
      <c r="AB45" s="24"/>
    </row>
    <row r="46" spans="1:28" ht="15" customHeight="1">
      <c r="A46" s="28"/>
      <c r="B46" s="22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5"/>
      <c r="S46" s="4"/>
      <c r="U46" s="4"/>
      <c r="AB46" s="6"/>
    </row>
    <row r="47" spans="1:28" ht="15" customHeight="1">
      <c r="A47" s="2"/>
      <c r="B47" s="22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5"/>
      <c r="S47" s="4"/>
      <c r="U47" s="4"/>
      <c r="AB47" s="6"/>
    </row>
    <row r="48" spans="1:28" ht="15" customHeight="1">
      <c r="A48" s="2"/>
      <c r="B48" s="22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0"/>
      <c r="S48" s="4"/>
      <c r="U48" s="4"/>
      <c r="AB48" s="6"/>
    </row>
    <row r="49" spans="1:28" ht="15" customHeight="1">
      <c r="A49" s="24"/>
      <c r="B49" s="22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5"/>
      <c r="S49" s="4"/>
      <c r="U49" s="4"/>
      <c r="AB49" s="6"/>
    </row>
    <row r="50" spans="1:16" ht="15" customHeight="1">
      <c r="A50" s="15"/>
      <c r="B50" s="14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4"/>
      <c r="B51" s="14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4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V2:W2"/>
  </mergeCells>
  <printOptions horizontalCentered="1"/>
  <pageMargins left="0.5" right="0.5" top="0.5" bottom="0.6" header="0.3" footer="0.4"/>
  <pageSetup fitToHeight="1" fitToWidth="1" horizontalDpi="600" verticalDpi="600" orientation="landscape" scale="69" r:id="rId2"/>
  <headerFooter alignWithMargins="0">
    <oddHeader xml:space="preserve">&amp;CSpreadsheet by Agilent Technologies&amp;R </oddHeader>
    <oddFooter>&amp;L&amp;F tab &amp;A page &amp;P of &amp;N&amp;RPrinted &amp;T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Agilent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Link Model Spreadsheet</dc:title>
  <dc:subject/>
  <dc:creator>Piers Dawe</dc:creator>
  <cp:keywords/>
  <dc:description/>
  <cp:lastModifiedBy>Piers Dawe</cp:lastModifiedBy>
  <cp:lastPrinted>2000-12-21T10:57:58Z</cp:lastPrinted>
  <dcterms:created xsi:type="dcterms:W3CDTF">1998-03-24T12:14:29Z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